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53" i="1" l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B1" i="1"/>
  <c r="C1" i="1"/>
  <c r="D1" i="1"/>
  <c r="E1" i="1"/>
  <c r="F1" i="1"/>
  <c r="A1" i="1"/>
  <c r="B2" i="1"/>
  <c r="C2" i="1"/>
  <c r="D2" i="1"/>
  <c r="E2" i="1"/>
  <c r="F2" i="1"/>
  <c r="B354" i="1"/>
  <c r="C354" i="1"/>
  <c r="D354" i="1"/>
  <c r="E354" i="1"/>
  <c r="F354" i="1"/>
  <c r="A354" i="1"/>
  <c r="B3" i="1"/>
  <c r="C3" i="1"/>
  <c r="D3" i="1"/>
  <c r="E3" i="1"/>
  <c r="F3" i="1"/>
  <c r="B355" i="1"/>
  <c r="C355" i="1"/>
  <c r="D355" i="1"/>
  <c r="E355" i="1"/>
  <c r="F355" i="1"/>
  <c r="A355" i="1"/>
  <c r="B4" i="1"/>
  <c r="C4" i="1"/>
  <c r="D4" i="1"/>
  <c r="E4" i="1"/>
  <c r="F4" i="1"/>
  <c r="B356" i="1"/>
  <c r="C356" i="1"/>
  <c r="D356" i="1"/>
  <c r="E356" i="1"/>
  <c r="F356" i="1"/>
  <c r="A356" i="1"/>
  <c r="B5" i="1"/>
  <c r="C5" i="1"/>
  <c r="D5" i="1"/>
  <c r="E5" i="1"/>
  <c r="F5" i="1"/>
  <c r="B630" i="1"/>
  <c r="C630" i="1"/>
  <c r="D630" i="1"/>
  <c r="E630" i="1"/>
  <c r="F630" i="1"/>
  <c r="A630" i="1"/>
  <c r="B6" i="1"/>
  <c r="C6" i="1"/>
  <c r="D6" i="1"/>
  <c r="E6" i="1"/>
  <c r="F6" i="1"/>
  <c r="B357" i="1"/>
  <c r="C357" i="1"/>
  <c r="D357" i="1"/>
  <c r="E357" i="1"/>
  <c r="F357" i="1"/>
  <c r="A357" i="1"/>
  <c r="B7" i="1"/>
  <c r="C7" i="1"/>
  <c r="D7" i="1"/>
  <c r="E7" i="1"/>
  <c r="F7" i="1"/>
  <c r="B358" i="1"/>
  <c r="C358" i="1"/>
  <c r="D358" i="1"/>
  <c r="E358" i="1"/>
  <c r="F358" i="1"/>
  <c r="A358" i="1"/>
  <c r="B8" i="1"/>
  <c r="C8" i="1"/>
  <c r="D8" i="1"/>
  <c r="E8" i="1"/>
  <c r="F8" i="1"/>
  <c r="B359" i="1"/>
  <c r="C359" i="1"/>
  <c r="D359" i="1"/>
  <c r="E359" i="1"/>
  <c r="F359" i="1"/>
  <c r="A359" i="1"/>
  <c r="B9" i="1"/>
  <c r="C9" i="1"/>
  <c r="D9" i="1"/>
  <c r="E9" i="1"/>
  <c r="F9" i="1"/>
  <c r="B360" i="1"/>
  <c r="C360" i="1"/>
  <c r="D360" i="1"/>
  <c r="E360" i="1"/>
  <c r="F360" i="1"/>
  <c r="A360" i="1"/>
  <c r="B10" i="1"/>
  <c r="C10" i="1"/>
  <c r="D10" i="1"/>
  <c r="E10" i="1"/>
  <c r="F10" i="1"/>
  <c r="B361" i="1"/>
  <c r="C361" i="1"/>
  <c r="D361" i="1"/>
  <c r="E361" i="1"/>
  <c r="F361" i="1"/>
  <c r="A361" i="1"/>
  <c r="B11" i="1"/>
  <c r="C11" i="1"/>
  <c r="D11" i="1"/>
  <c r="E11" i="1"/>
  <c r="F11" i="1"/>
  <c r="B362" i="1"/>
  <c r="C362" i="1"/>
  <c r="D362" i="1"/>
  <c r="E362" i="1"/>
  <c r="F362" i="1"/>
  <c r="A362" i="1"/>
  <c r="B12" i="1"/>
  <c r="C12" i="1"/>
  <c r="D12" i="1"/>
  <c r="E12" i="1"/>
  <c r="F12" i="1"/>
  <c r="B363" i="1"/>
  <c r="C363" i="1"/>
  <c r="D363" i="1"/>
  <c r="E363" i="1"/>
  <c r="F363" i="1"/>
  <c r="A363" i="1"/>
  <c r="B410" i="1"/>
  <c r="C410" i="1"/>
  <c r="D410" i="1"/>
  <c r="E410" i="1"/>
  <c r="F410" i="1"/>
  <c r="A410" i="1"/>
  <c r="B364" i="1"/>
  <c r="C364" i="1"/>
  <c r="D364" i="1"/>
  <c r="E364" i="1"/>
  <c r="F364" i="1"/>
  <c r="A364" i="1"/>
  <c r="B411" i="1"/>
  <c r="C411" i="1"/>
  <c r="D411" i="1"/>
  <c r="E411" i="1"/>
  <c r="F411" i="1"/>
  <c r="A411" i="1"/>
  <c r="B365" i="1"/>
  <c r="C365" i="1"/>
  <c r="D365" i="1"/>
  <c r="E365" i="1"/>
  <c r="F365" i="1"/>
  <c r="A365" i="1"/>
  <c r="B412" i="1"/>
  <c r="C412" i="1"/>
  <c r="D412" i="1"/>
  <c r="E412" i="1"/>
  <c r="F412" i="1"/>
  <c r="A412" i="1"/>
  <c r="B366" i="1"/>
  <c r="C366" i="1"/>
  <c r="D366" i="1"/>
  <c r="E366" i="1"/>
  <c r="F366" i="1"/>
  <c r="A366" i="1"/>
  <c r="B413" i="1"/>
  <c r="C413" i="1"/>
  <c r="D413" i="1"/>
  <c r="E413" i="1"/>
  <c r="F413" i="1"/>
  <c r="A413" i="1"/>
  <c r="B367" i="1"/>
  <c r="C367" i="1"/>
  <c r="D367" i="1"/>
  <c r="E367" i="1"/>
  <c r="F367" i="1"/>
  <c r="A367" i="1"/>
  <c r="B414" i="1"/>
  <c r="C414" i="1"/>
  <c r="D414" i="1"/>
  <c r="E414" i="1"/>
  <c r="F414" i="1"/>
  <c r="A414" i="1"/>
  <c r="B368" i="1"/>
  <c r="C368" i="1"/>
  <c r="D368" i="1"/>
  <c r="E368" i="1"/>
  <c r="F368" i="1"/>
  <c r="A368" i="1"/>
  <c r="B415" i="1"/>
  <c r="C415" i="1"/>
  <c r="D415" i="1"/>
  <c r="E415" i="1"/>
  <c r="F415" i="1"/>
  <c r="A415" i="1"/>
  <c r="B369" i="1"/>
  <c r="C369" i="1"/>
  <c r="D369" i="1"/>
  <c r="E369" i="1"/>
  <c r="F369" i="1"/>
  <c r="A369" i="1"/>
  <c r="B13" i="1"/>
  <c r="C13" i="1"/>
  <c r="D13" i="1"/>
  <c r="E13" i="1"/>
  <c r="F13" i="1"/>
  <c r="B416" i="1"/>
  <c r="C416" i="1"/>
  <c r="D416" i="1"/>
  <c r="E416" i="1"/>
  <c r="F416" i="1"/>
  <c r="A416" i="1"/>
  <c r="B370" i="1"/>
  <c r="C370" i="1"/>
  <c r="D370" i="1"/>
  <c r="E370" i="1"/>
  <c r="F370" i="1"/>
  <c r="A370" i="1"/>
  <c r="B417" i="1"/>
  <c r="C417" i="1"/>
  <c r="D417" i="1"/>
  <c r="E417" i="1"/>
  <c r="F417" i="1"/>
  <c r="A417" i="1"/>
  <c r="B371" i="1"/>
  <c r="C371" i="1"/>
  <c r="D371" i="1"/>
  <c r="E371" i="1"/>
  <c r="F371" i="1"/>
  <c r="A371" i="1"/>
  <c r="B418" i="1"/>
  <c r="C418" i="1"/>
  <c r="D418" i="1"/>
  <c r="E418" i="1"/>
  <c r="F418" i="1"/>
  <c r="A418" i="1"/>
  <c r="B372" i="1"/>
  <c r="C372" i="1"/>
  <c r="D372" i="1"/>
  <c r="E372" i="1"/>
  <c r="F372" i="1"/>
  <c r="A372" i="1"/>
  <c r="B419" i="1"/>
  <c r="C419" i="1"/>
  <c r="D419" i="1"/>
  <c r="E419" i="1"/>
  <c r="F419" i="1"/>
  <c r="A419" i="1"/>
  <c r="B373" i="1"/>
  <c r="C373" i="1"/>
  <c r="D373" i="1"/>
  <c r="E373" i="1"/>
  <c r="F373" i="1"/>
  <c r="A373" i="1"/>
  <c r="B420" i="1"/>
  <c r="C420" i="1"/>
  <c r="D420" i="1"/>
  <c r="E420" i="1"/>
  <c r="F420" i="1"/>
  <c r="A420" i="1"/>
  <c r="B374" i="1"/>
  <c r="C374" i="1"/>
  <c r="D374" i="1"/>
  <c r="E374" i="1"/>
  <c r="F374" i="1"/>
  <c r="A374" i="1"/>
  <c r="B421" i="1"/>
  <c r="C421" i="1"/>
  <c r="D421" i="1"/>
  <c r="E421" i="1"/>
  <c r="F421" i="1"/>
  <c r="A421" i="1"/>
  <c r="B422" i="1"/>
  <c r="C422" i="1"/>
  <c r="D422" i="1"/>
  <c r="E422" i="1"/>
  <c r="F422" i="1"/>
  <c r="A422" i="1"/>
  <c r="B375" i="1"/>
  <c r="C375" i="1"/>
  <c r="D375" i="1"/>
  <c r="E375" i="1"/>
  <c r="F375" i="1"/>
  <c r="A375" i="1"/>
  <c r="B423" i="1"/>
  <c r="C423" i="1"/>
  <c r="D423" i="1"/>
  <c r="E423" i="1"/>
  <c r="F423" i="1"/>
  <c r="A423" i="1"/>
  <c r="B376" i="1"/>
  <c r="C376" i="1"/>
  <c r="D376" i="1"/>
  <c r="E376" i="1"/>
  <c r="F376" i="1"/>
  <c r="A376" i="1"/>
  <c r="B424" i="1"/>
  <c r="C424" i="1"/>
  <c r="D424" i="1"/>
  <c r="E424" i="1"/>
  <c r="F424" i="1"/>
  <c r="A424" i="1"/>
  <c r="B377" i="1"/>
  <c r="C377" i="1"/>
  <c r="D377" i="1"/>
  <c r="E377" i="1"/>
  <c r="F377" i="1"/>
  <c r="A377" i="1"/>
  <c r="B425" i="1"/>
  <c r="C425" i="1"/>
  <c r="D425" i="1"/>
  <c r="E425" i="1"/>
  <c r="F425" i="1"/>
  <c r="A425" i="1"/>
  <c r="B378" i="1"/>
  <c r="C378" i="1"/>
  <c r="D378" i="1"/>
  <c r="E378" i="1"/>
  <c r="F378" i="1"/>
  <c r="A378" i="1"/>
  <c r="B426" i="1"/>
  <c r="C426" i="1"/>
  <c r="D426" i="1"/>
  <c r="E426" i="1"/>
  <c r="F426" i="1"/>
  <c r="A426" i="1"/>
  <c r="B379" i="1"/>
  <c r="C379" i="1"/>
  <c r="D379" i="1"/>
  <c r="E379" i="1"/>
  <c r="F379" i="1"/>
  <c r="A379" i="1"/>
  <c r="B427" i="1"/>
  <c r="C427" i="1"/>
  <c r="D427" i="1"/>
  <c r="E427" i="1"/>
  <c r="F427" i="1"/>
  <c r="A427" i="1"/>
  <c r="B428" i="1"/>
  <c r="C428" i="1"/>
  <c r="D428" i="1"/>
  <c r="E428" i="1"/>
  <c r="F428" i="1"/>
  <c r="A428" i="1"/>
  <c r="B429" i="1"/>
  <c r="C429" i="1"/>
  <c r="D429" i="1"/>
  <c r="E429" i="1"/>
  <c r="F429" i="1"/>
  <c r="A429" i="1"/>
  <c r="B430" i="1"/>
  <c r="C430" i="1"/>
  <c r="D430" i="1"/>
  <c r="E430" i="1"/>
  <c r="F430" i="1"/>
  <c r="A430" i="1"/>
  <c r="B431" i="1"/>
  <c r="C431" i="1"/>
  <c r="D431" i="1"/>
  <c r="E431" i="1"/>
  <c r="F431" i="1"/>
  <c r="A431" i="1"/>
  <c r="B432" i="1"/>
  <c r="C432" i="1"/>
  <c r="D432" i="1"/>
  <c r="E432" i="1"/>
  <c r="F432" i="1"/>
  <c r="A432" i="1"/>
  <c r="B380" i="1"/>
  <c r="C380" i="1"/>
  <c r="D380" i="1"/>
  <c r="E380" i="1"/>
  <c r="F380" i="1"/>
  <c r="A380" i="1"/>
  <c r="B433" i="1"/>
  <c r="C433" i="1"/>
  <c r="D433" i="1"/>
  <c r="E433" i="1"/>
  <c r="F433" i="1"/>
  <c r="A433" i="1"/>
  <c r="B381" i="1"/>
  <c r="C381" i="1"/>
  <c r="D381" i="1"/>
  <c r="E381" i="1"/>
  <c r="F381" i="1"/>
  <c r="A381" i="1"/>
  <c r="B434" i="1"/>
  <c r="C434" i="1"/>
  <c r="D434" i="1"/>
  <c r="E434" i="1"/>
  <c r="F434" i="1"/>
  <c r="A434" i="1"/>
  <c r="B382" i="1"/>
  <c r="C382" i="1"/>
  <c r="D382" i="1"/>
  <c r="E382" i="1"/>
  <c r="F382" i="1"/>
  <c r="A382" i="1"/>
  <c r="B435" i="1"/>
  <c r="C435" i="1"/>
  <c r="D435" i="1"/>
  <c r="E435" i="1"/>
  <c r="F435" i="1"/>
  <c r="A435" i="1"/>
  <c r="B383" i="1"/>
  <c r="C383" i="1"/>
  <c r="D383" i="1"/>
  <c r="E383" i="1"/>
  <c r="F383" i="1"/>
  <c r="A383" i="1"/>
  <c r="B436" i="1"/>
  <c r="C436" i="1"/>
  <c r="D436" i="1"/>
  <c r="E436" i="1"/>
  <c r="F436" i="1"/>
  <c r="A436" i="1"/>
  <c r="B384" i="1"/>
  <c r="C384" i="1"/>
  <c r="D384" i="1"/>
  <c r="E384" i="1"/>
  <c r="F384" i="1"/>
  <c r="A384" i="1"/>
  <c r="B437" i="1"/>
  <c r="C437" i="1"/>
  <c r="D437" i="1"/>
  <c r="E437" i="1"/>
  <c r="F437" i="1"/>
  <c r="A437" i="1"/>
  <c r="B385" i="1"/>
  <c r="C385" i="1"/>
  <c r="D385" i="1"/>
  <c r="E385" i="1"/>
  <c r="F385" i="1"/>
  <c r="A385" i="1"/>
  <c r="B14" i="1"/>
  <c r="C14" i="1"/>
  <c r="D14" i="1"/>
  <c r="E14" i="1"/>
  <c r="F14" i="1"/>
  <c r="B15" i="1"/>
  <c r="C15" i="1"/>
  <c r="D15" i="1"/>
  <c r="E15" i="1"/>
  <c r="F15" i="1"/>
  <c r="B438" i="1"/>
  <c r="C438" i="1"/>
  <c r="D438" i="1"/>
  <c r="E438" i="1"/>
  <c r="F438" i="1"/>
  <c r="A438" i="1"/>
  <c r="B439" i="1"/>
  <c r="C439" i="1"/>
  <c r="D439" i="1"/>
  <c r="E439" i="1"/>
  <c r="F439" i="1"/>
  <c r="A439" i="1"/>
  <c r="B440" i="1"/>
  <c r="C440" i="1"/>
  <c r="D440" i="1"/>
  <c r="E440" i="1"/>
  <c r="F440" i="1"/>
  <c r="A440" i="1"/>
  <c r="B386" i="1"/>
  <c r="C386" i="1"/>
  <c r="D386" i="1"/>
  <c r="E386" i="1"/>
  <c r="F386" i="1"/>
  <c r="A386" i="1"/>
  <c r="B387" i="1"/>
  <c r="C387" i="1"/>
  <c r="D387" i="1"/>
  <c r="E387" i="1"/>
  <c r="F387" i="1"/>
  <c r="A387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B27" i="1"/>
  <c r="C27" i="1"/>
  <c r="D27" i="1"/>
  <c r="E27" i="1"/>
  <c r="F27" i="1"/>
  <c r="B28" i="1"/>
  <c r="C28" i="1"/>
  <c r="D28" i="1"/>
  <c r="E28" i="1"/>
  <c r="F28" i="1"/>
  <c r="B441" i="1"/>
  <c r="C441" i="1"/>
  <c r="D441" i="1"/>
  <c r="E441" i="1"/>
  <c r="F441" i="1"/>
  <c r="A441" i="1"/>
  <c r="B29" i="1"/>
  <c r="C29" i="1"/>
  <c r="D29" i="1"/>
  <c r="E29" i="1"/>
  <c r="F29" i="1"/>
  <c r="B30" i="1"/>
  <c r="C30" i="1"/>
  <c r="D30" i="1"/>
  <c r="E30" i="1"/>
  <c r="F30" i="1"/>
  <c r="B31" i="1"/>
  <c r="C31" i="1"/>
  <c r="D31" i="1"/>
  <c r="E31" i="1"/>
  <c r="F31" i="1"/>
  <c r="B32" i="1"/>
  <c r="C32" i="1"/>
  <c r="D32" i="1"/>
  <c r="E32" i="1"/>
  <c r="F32" i="1"/>
  <c r="B33" i="1"/>
  <c r="C33" i="1"/>
  <c r="D33" i="1"/>
  <c r="E33" i="1"/>
  <c r="F33" i="1"/>
  <c r="B34" i="1"/>
  <c r="C34" i="1"/>
  <c r="D34" i="1"/>
  <c r="E34" i="1"/>
  <c r="F34" i="1"/>
  <c r="B35" i="1"/>
  <c r="C35" i="1"/>
  <c r="D35" i="1"/>
  <c r="E35" i="1"/>
  <c r="F35" i="1"/>
  <c r="B36" i="1"/>
  <c r="C36" i="1"/>
  <c r="D36" i="1"/>
  <c r="E36" i="1"/>
  <c r="F36" i="1"/>
  <c r="B37" i="1"/>
  <c r="C37" i="1"/>
  <c r="D37" i="1"/>
  <c r="E37" i="1"/>
  <c r="F37" i="1"/>
  <c r="B442" i="1"/>
  <c r="C442" i="1"/>
  <c r="D442" i="1"/>
  <c r="E442" i="1"/>
  <c r="F442" i="1"/>
  <c r="A442" i="1"/>
  <c r="B38" i="1"/>
  <c r="C38" i="1"/>
  <c r="D38" i="1"/>
  <c r="E38" i="1"/>
  <c r="F38" i="1"/>
  <c r="B39" i="1"/>
  <c r="C39" i="1"/>
  <c r="D39" i="1"/>
  <c r="E39" i="1"/>
  <c r="F39" i="1"/>
  <c r="B40" i="1"/>
  <c r="C40" i="1"/>
  <c r="D40" i="1"/>
  <c r="E40" i="1"/>
  <c r="F40" i="1"/>
  <c r="B41" i="1"/>
  <c r="C41" i="1"/>
  <c r="D41" i="1"/>
  <c r="E41" i="1"/>
  <c r="F41" i="1"/>
  <c r="B42" i="1"/>
  <c r="C42" i="1"/>
  <c r="D42" i="1"/>
  <c r="E42" i="1"/>
  <c r="F42" i="1"/>
  <c r="B43" i="1"/>
  <c r="C43" i="1"/>
  <c r="D43" i="1"/>
  <c r="E43" i="1"/>
  <c r="F43" i="1"/>
  <c r="B44" i="1"/>
  <c r="C44" i="1"/>
  <c r="D44" i="1"/>
  <c r="E44" i="1"/>
  <c r="F44" i="1"/>
  <c r="B45" i="1"/>
  <c r="C45" i="1"/>
  <c r="D45" i="1"/>
  <c r="E45" i="1"/>
  <c r="F45" i="1"/>
  <c r="B46" i="1"/>
  <c r="C46" i="1"/>
  <c r="D46" i="1"/>
  <c r="E46" i="1"/>
  <c r="F46" i="1"/>
  <c r="B47" i="1"/>
  <c r="C47" i="1"/>
  <c r="D47" i="1"/>
  <c r="E47" i="1"/>
  <c r="F47" i="1"/>
  <c r="B48" i="1"/>
  <c r="C48" i="1"/>
  <c r="D48" i="1"/>
  <c r="E48" i="1"/>
  <c r="F48" i="1"/>
  <c r="B49" i="1"/>
  <c r="C49" i="1"/>
  <c r="D49" i="1"/>
  <c r="E49" i="1"/>
  <c r="F49" i="1"/>
  <c r="B50" i="1"/>
  <c r="C50" i="1"/>
  <c r="D50" i="1"/>
  <c r="E50" i="1"/>
  <c r="F50" i="1"/>
  <c r="B51" i="1"/>
  <c r="C51" i="1"/>
  <c r="D51" i="1"/>
  <c r="E51" i="1"/>
  <c r="F51" i="1"/>
  <c r="B52" i="1"/>
  <c r="C52" i="1"/>
  <c r="D52" i="1"/>
  <c r="E52" i="1"/>
  <c r="F52" i="1"/>
  <c r="B443" i="1"/>
  <c r="C443" i="1"/>
  <c r="D443" i="1"/>
  <c r="E443" i="1"/>
  <c r="F443" i="1"/>
  <c r="A443" i="1"/>
  <c r="B53" i="1"/>
  <c r="C53" i="1"/>
  <c r="D53" i="1"/>
  <c r="E53" i="1"/>
  <c r="F53" i="1"/>
  <c r="B54" i="1"/>
  <c r="C54" i="1"/>
  <c r="D54" i="1"/>
  <c r="E54" i="1"/>
  <c r="F54" i="1"/>
  <c r="B55" i="1"/>
  <c r="C55" i="1"/>
  <c r="D55" i="1"/>
  <c r="E55" i="1"/>
  <c r="F55" i="1"/>
  <c r="B56" i="1"/>
  <c r="C56" i="1"/>
  <c r="D56" i="1"/>
  <c r="E56" i="1"/>
  <c r="F56" i="1"/>
  <c r="B57" i="1"/>
  <c r="C57" i="1"/>
  <c r="D57" i="1"/>
  <c r="E57" i="1"/>
  <c r="F57" i="1"/>
  <c r="B58" i="1"/>
  <c r="C58" i="1"/>
  <c r="D58" i="1"/>
  <c r="E58" i="1"/>
  <c r="F58" i="1"/>
  <c r="B444" i="1"/>
  <c r="C444" i="1"/>
  <c r="D444" i="1"/>
  <c r="E444" i="1"/>
  <c r="F444" i="1"/>
  <c r="A444" i="1"/>
  <c r="B59" i="1"/>
  <c r="C59" i="1"/>
  <c r="D59" i="1"/>
  <c r="E59" i="1"/>
  <c r="F59" i="1"/>
  <c r="B60" i="1"/>
  <c r="C60" i="1"/>
  <c r="D60" i="1"/>
  <c r="E60" i="1"/>
  <c r="F60" i="1"/>
  <c r="B61" i="1"/>
  <c r="C61" i="1"/>
  <c r="D61" i="1"/>
  <c r="E61" i="1"/>
  <c r="F61" i="1"/>
  <c r="B62" i="1"/>
  <c r="C62" i="1"/>
  <c r="D62" i="1"/>
  <c r="E62" i="1"/>
  <c r="F62" i="1"/>
  <c r="B445" i="1"/>
  <c r="C445" i="1"/>
  <c r="D445" i="1"/>
  <c r="E445" i="1"/>
  <c r="F445" i="1"/>
  <c r="A445" i="1"/>
  <c r="B446" i="1"/>
  <c r="C446" i="1"/>
  <c r="D446" i="1"/>
  <c r="E446" i="1"/>
  <c r="F446" i="1"/>
  <c r="A446" i="1"/>
  <c r="B447" i="1"/>
  <c r="C447" i="1"/>
  <c r="D447" i="1"/>
  <c r="E447" i="1"/>
  <c r="F447" i="1"/>
  <c r="A447" i="1"/>
  <c r="B63" i="1"/>
  <c r="C63" i="1"/>
  <c r="D63" i="1"/>
  <c r="E63" i="1"/>
  <c r="F63" i="1"/>
  <c r="B64" i="1"/>
  <c r="C64" i="1"/>
  <c r="D64" i="1"/>
  <c r="E64" i="1"/>
  <c r="F64" i="1"/>
  <c r="B65" i="1"/>
  <c r="C65" i="1"/>
  <c r="D65" i="1"/>
  <c r="E65" i="1"/>
  <c r="F65" i="1"/>
  <c r="B66" i="1"/>
  <c r="C66" i="1"/>
  <c r="D66" i="1"/>
  <c r="E66" i="1"/>
  <c r="F66" i="1"/>
  <c r="B67" i="1"/>
  <c r="C67" i="1"/>
  <c r="D67" i="1"/>
  <c r="E67" i="1"/>
  <c r="F67" i="1"/>
  <c r="B68" i="1"/>
  <c r="C68" i="1"/>
  <c r="D68" i="1"/>
  <c r="E68" i="1"/>
  <c r="F68" i="1"/>
  <c r="B69" i="1"/>
  <c r="C69" i="1"/>
  <c r="D69" i="1"/>
  <c r="E69" i="1"/>
  <c r="F69" i="1"/>
  <c r="B70" i="1"/>
  <c r="C70" i="1"/>
  <c r="D70" i="1"/>
  <c r="E70" i="1"/>
  <c r="F70" i="1"/>
  <c r="B71" i="1"/>
  <c r="C71" i="1"/>
  <c r="D71" i="1"/>
  <c r="E71" i="1"/>
  <c r="F71" i="1"/>
  <c r="B448" i="1"/>
  <c r="C448" i="1"/>
  <c r="D448" i="1"/>
  <c r="E448" i="1"/>
  <c r="F448" i="1"/>
  <c r="A448" i="1"/>
  <c r="B72" i="1"/>
  <c r="C72" i="1"/>
  <c r="D72" i="1"/>
  <c r="E72" i="1"/>
  <c r="F72" i="1"/>
  <c r="B73" i="1"/>
  <c r="C73" i="1"/>
  <c r="D73" i="1"/>
  <c r="E73" i="1"/>
  <c r="F73" i="1"/>
  <c r="B74" i="1"/>
  <c r="C74" i="1"/>
  <c r="D74" i="1"/>
  <c r="E74" i="1"/>
  <c r="F74" i="1"/>
  <c r="B75" i="1"/>
  <c r="C75" i="1"/>
  <c r="D75" i="1"/>
  <c r="E75" i="1"/>
  <c r="F75" i="1"/>
  <c r="B76" i="1"/>
  <c r="C76" i="1"/>
  <c r="D76" i="1"/>
  <c r="E76" i="1"/>
  <c r="F76" i="1"/>
  <c r="B77" i="1"/>
  <c r="C77" i="1"/>
  <c r="D77" i="1"/>
  <c r="E77" i="1"/>
  <c r="F77" i="1"/>
  <c r="B78" i="1"/>
  <c r="C78" i="1"/>
  <c r="D78" i="1"/>
  <c r="E78" i="1"/>
  <c r="F78" i="1"/>
  <c r="B79" i="1"/>
  <c r="C79" i="1"/>
  <c r="D79" i="1"/>
  <c r="E79" i="1"/>
  <c r="F79" i="1"/>
  <c r="B80" i="1"/>
  <c r="C80" i="1"/>
  <c r="D80" i="1"/>
  <c r="E80" i="1"/>
  <c r="F80" i="1"/>
  <c r="B81" i="1"/>
  <c r="C81" i="1"/>
  <c r="D81" i="1"/>
  <c r="E81" i="1"/>
  <c r="F81" i="1"/>
  <c r="B82" i="1"/>
  <c r="C82" i="1"/>
  <c r="D82" i="1"/>
  <c r="E82" i="1"/>
  <c r="F82" i="1"/>
  <c r="B83" i="1"/>
  <c r="C83" i="1"/>
  <c r="D83" i="1"/>
  <c r="E83" i="1"/>
  <c r="F83" i="1"/>
  <c r="B84" i="1"/>
  <c r="C84" i="1"/>
  <c r="D84" i="1"/>
  <c r="E84" i="1"/>
  <c r="F84" i="1"/>
  <c r="B388" i="1"/>
  <c r="C388" i="1"/>
  <c r="D388" i="1"/>
  <c r="E388" i="1"/>
  <c r="F388" i="1"/>
  <c r="A388" i="1"/>
  <c r="B85" i="1"/>
  <c r="C85" i="1"/>
  <c r="D85" i="1"/>
  <c r="E85" i="1"/>
  <c r="F85" i="1"/>
  <c r="B86" i="1"/>
  <c r="C86" i="1"/>
  <c r="D86" i="1"/>
  <c r="E86" i="1"/>
  <c r="F86" i="1"/>
  <c r="B87" i="1"/>
  <c r="C87" i="1"/>
  <c r="D87" i="1"/>
  <c r="E87" i="1"/>
  <c r="F87" i="1"/>
  <c r="B88" i="1"/>
  <c r="C88" i="1"/>
  <c r="D88" i="1"/>
  <c r="E88" i="1"/>
  <c r="F88" i="1"/>
  <c r="B89" i="1"/>
  <c r="C89" i="1"/>
  <c r="D89" i="1"/>
  <c r="E89" i="1"/>
  <c r="F89" i="1"/>
  <c r="B90" i="1"/>
  <c r="C90" i="1"/>
  <c r="D90" i="1"/>
  <c r="E90" i="1"/>
  <c r="F90" i="1"/>
  <c r="B91" i="1"/>
  <c r="C91" i="1"/>
  <c r="D91" i="1"/>
  <c r="E91" i="1"/>
  <c r="F91" i="1"/>
  <c r="B92" i="1"/>
  <c r="C92" i="1"/>
  <c r="D92" i="1"/>
  <c r="E92" i="1"/>
  <c r="F92" i="1"/>
  <c r="B93" i="1"/>
  <c r="C93" i="1"/>
  <c r="D93" i="1"/>
  <c r="E93" i="1"/>
  <c r="F93" i="1"/>
  <c r="B94" i="1"/>
  <c r="C94" i="1"/>
  <c r="D94" i="1"/>
  <c r="E94" i="1"/>
  <c r="F94" i="1"/>
  <c r="B95" i="1"/>
  <c r="C95" i="1"/>
  <c r="D95" i="1"/>
  <c r="E95" i="1"/>
  <c r="F95" i="1"/>
  <c r="B96" i="1"/>
  <c r="C96" i="1"/>
  <c r="D96" i="1"/>
  <c r="E96" i="1"/>
  <c r="F96" i="1"/>
  <c r="B389" i="1"/>
  <c r="C389" i="1"/>
  <c r="D389" i="1"/>
  <c r="E389" i="1"/>
  <c r="F389" i="1"/>
  <c r="A389" i="1"/>
  <c r="B97" i="1"/>
  <c r="C97" i="1"/>
  <c r="D97" i="1"/>
  <c r="E97" i="1"/>
  <c r="F97" i="1"/>
  <c r="B390" i="1"/>
  <c r="C390" i="1"/>
  <c r="D390" i="1"/>
  <c r="E390" i="1"/>
  <c r="F390" i="1"/>
  <c r="A390" i="1"/>
  <c r="B449" i="1"/>
  <c r="C449" i="1"/>
  <c r="D449" i="1"/>
  <c r="E449" i="1"/>
  <c r="F449" i="1"/>
  <c r="A449" i="1"/>
  <c r="B450" i="1"/>
  <c r="C450" i="1"/>
  <c r="D450" i="1"/>
  <c r="E450" i="1"/>
  <c r="F450" i="1"/>
  <c r="A450" i="1"/>
  <c r="B451" i="1"/>
  <c r="C451" i="1"/>
  <c r="D451" i="1"/>
  <c r="E451" i="1"/>
  <c r="F451" i="1"/>
  <c r="A451" i="1"/>
  <c r="B452" i="1"/>
  <c r="C452" i="1"/>
  <c r="D452" i="1"/>
  <c r="E452" i="1"/>
  <c r="F452" i="1"/>
  <c r="A452" i="1"/>
  <c r="B453" i="1"/>
  <c r="C453" i="1"/>
  <c r="D453" i="1"/>
  <c r="E453" i="1"/>
  <c r="F453" i="1"/>
  <c r="A453" i="1"/>
  <c r="B454" i="1"/>
  <c r="C454" i="1"/>
  <c r="D454" i="1"/>
  <c r="E454" i="1"/>
  <c r="F454" i="1"/>
  <c r="A454" i="1"/>
  <c r="B455" i="1"/>
  <c r="C455" i="1"/>
  <c r="D455" i="1"/>
  <c r="E455" i="1"/>
  <c r="F455" i="1"/>
  <c r="A455" i="1"/>
  <c r="B456" i="1"/>
  <c r="C456" i="1"/>
  <c r="D456" i="1"/>
  <c r="E456" i="1"/>
  <c r="F456" i="1"/>
  <c r="A456" i="1"/>
  <c r="B457" i="1"/>
  <c r="C457" i="1"/>
  <c r="D457" i="1"/>
  <c r="E457" i="1"/>
  <c r="F457" i="1"/>
  <c r="A457" i="1"/>
  <c r="B98" i="1"/>
  <c r="C98" i="1"/>
  <c r="D98" i="1"/>
  <c r="E98" i="1"/>
  <c r="F98" i="1"/>
  <c r="B458" i="1"/>
  <c r="C458" i="1"/>
  <c r="D458" i="1"/>
  <c r="E458" i="1"/>
  <c r="F458" i="1"/>
  <c r="A458" i="1"/>
  <c r="B99" i="1"/>
  <c r="C99" i="1"/>
  <c r="D99" i="1"/>
  <c r="E99" i="1"/>
  <c r="F99" i="1"/>
  <c r="B100" i="1"/>
  <c r="C100" i="1"/>
  <c r="D100" i="1"/>
  <c r="E100" i="1"/>
  <c r="F100" i="1"/>
  <c r="B459" i="1"/>
  <c r="C459" i="1"/>
  <c r="D459" i="1"/>
  <c r="E459" i="1"/>
  <c r="F459" i="1"/>
  <c r="A459" i="1"/>
  <c r="B101" i="1"/>
  <c r="C101" i="1"/>
  <c r="D101" i="1"/>
  <c r="E101" i="1"/>
  <c r="F101" i="1"/>
  <c r="B460" i="1"/>
  <c r="C460" i="1"/>
  <c r="D460" i="1"/>
  <c r="E460" i="1"/>
  <c r="F460" i="1"/>
  <c r="A460" i="1"/>
  <c r="B461" i="1"/>
  <c r="C461" i="1"/>
  <c r="D461" i="1"/>
  <c r="E461" i="1"/>
  <c r="F461" i="1"/>
  <c r="A461" i="1"/>
  <c r="B391" i="1"/>
  <c r="C391" i="1"/>
  <c r="D391" i="1"/>
  <c r="E391" i="1"/>
  <c r="F391" i="1"/>
  <c r="A391" i="1"/>
  <c r="B462" i="1"/>
  <c r="C462" i="1"/>
  <c r="D462" i="1"/>
  <c r="E462" i="1"/>
  <c r="F462" i="1"/>
  <c r="A462" i="1"/>
  <c r="B463" i="1"/>
  <c r="C463" i="1"/>
  <c r="D463" i="1"/>
  <c r="E463" i="1"/>
  <c r="F463" i="1"/>
  <c r="A463" i="1"/>
  <c r="B464" i="1"/>
  <c r="C464" i="1"/>
  <c r="D464" i="1"/>
  <c r="E464" i="1"/>
  <c r="F464" i="1"/>
  <c r="A464" i="1"/>
  <c r="B465" i="1"/>
  <c r="C465" i="1"/>
  <c r="D465" i="1"/>
  <c r="E465" i="1"/>
  <c r="F465" i="1"/>
  <c r="A465" i="1"/>
  <c r="B466" i="1"/>
  <c r="C466" i="1"/>
  <c r="D466" i="1"/>
  <c r="E466" i="1"/>
  <c r="F466" i="1"/>
  <c r="A466" i="1"/>
  <c r="B102" i="1"/>
  <c r="C102" i="1"/>
  <c r="D102" i="1"/>
  <c r="E102" i="1"/>
  <c r="F102" i="1"/>
  <c r="B103" i="1"/>
  <c r="C103" i="1"/>
  <c r="D103" i="1"/>
  <c r="E103" i="1"/>
  <c r="F103" i="1"/>
  <c r="B467" i="1"/>
  <c r="C467" i="1"/>
  <c r="D467" i="1"/>
  <c r="E467" i="1"/>
  <c r="F467" i="1"/>
  <c r="A467" i="1"/>
  <c r="B468" i="1"/>
  <c r="C468" i="1"/>
  <c r="D468" i="1"/>
  <c r="E468" i="1"/>
  <c r="F468" i="1"/>
  <c r="A468" i="1"/>
  <c r="B104" i="1"/>
  <c r="C104" i="1"/>
  <c r="D104" i="1"/>
  <c r="E104" i="1"/>
  <c r="F104" i="1"/>
  <c r="B469" i="1"/>
  <c r="C469" i="1"/>
  <c r="D469" i="1"/>
  <c r="E469" i="1"/>
  <c r="F469" i="1"/>
  <c r="A469" i="1"/>
  <c r="B470" i="1"/>
  <c r="C470" i="1"/>
  <c r="D470" i="1"/>
  <c r="E470" i="1"/>
  <c r="F470" i="1"/>
  <c r="A470" i="1"/>
  <c r="B471" i="1"/>
  <c r="C471" i="1"/>
  <c r="D471" i="1"/>
  <c r="E471" i="1"/>
  <c r="F471" i="1"/>
  <c r="A471" i="1"/>
  <c r="B472" i="1"/>
  <c r="C472" i="1"/>
  <c r="D472" i="1"/>
  <c r="E472" i="1"/>
  <c r="F472" i="1"/>
  <c r="A472" i="1"/>
  <c r="B473" i="1"/>
  <c r="C473" i="1"/>
  <c r="D473" i="1"/>
  <c r="E473" i="1"/>
  <c r="F473" i="1"/>
  <c r="A473" i="1"/>
  <c r="B474" i="1"/>
  <c r="C474" i="1"/>
  <c r="D474" i="1"/>
  <c r="E474" i="1"/>
  <c r="F474" i="1"/>
  <c r="A474" i="1"/>
  <c r="B105" i="1"/>
  <c r="C105" i="1"/>
  <c r="D105" i="1"/>
  <c r="E105" i="1"/>
  <c r="F105" i="1"/>
  <c r="B475" i="1"/>
  <c r="C475" i="1"/>
  <c r="D475" i="1"/>
  <c r="E475" i="1"/>
  <c r="F475" i="1"/>
  <c r="A475" i="1"/>
  <c r="B476" i="1"/>
  <c r="C476" i="1"/>
  <c r="D476" i="1"/>
  <c r="E476" i="1"/>
  <c r="F476" i="1"/>
  <c r="A476" i="1"/>
  <c r="B477" i="1"/>
  <c r="C477" i="1"/>
  <c r="D477" i="1"/>
  <c r="E477" i="1"/>
  <c r="F477" i="1"/>
  <c r="A477" i="1"/>
  <c r="B478" i="1"/>
  <c r="C478" i="1"/>
  <c r="D478" i="1"/>
  <c r="E478" i="1"/>
  <c r="F478" i="1"/>
  <c r="A478" i="1"/>
  <c r="B479" i="1"/>
  <c r="C479" i="1"/>
  <c r="D479" i="1"/>
  <c r="E479" i="1"/>
  <c r="F479" i="1"/>
  <c r="A479" i="1"/>
  <c r="B480" i="1"/>
  <c r="C480" i="1"/>
  <c r="D480" i="1"/>
  <c r="E480" i="1"/>
  <c r="F480" i="1"/>
  <c r="A480" i="1"/>
  <c r="B481" i="1"/>
  <c r="C481" i="1"/>
  <c r="D481" i="1"/>
  <c r="E481" i="1"/>
  <c r="F481" i="1"/>
  <c r="A481" i="1"/>
  <c r="B482" i="1"/>
  <c r="C482" i="1"/>
  <c r="D482" i="1"/>
  <c r="E482" i="1"/>
  <c r="F482" i="1"/>
  <c r="A482" i="1"/>
  <c r="B483" i="1"/>
  <c r="C483" i="1"/>
  <c r="D483" i="1"/>
  <c r="E483" i="1"/>
  <c r="F483" i="1"/>
  <c r="A483" i="1"/>
  <c r="B484" i="1"/>
  <c r="C484" i="1"/>
  <c r="D484" i="1"/>
  <c r="E484" i="1"/>
  <c r="F484" i="1"/>
  <c r="A484" i="1"/>
  <c r="B485" i="1"/>
  <c r="C485" i="1"/>
  <c r="D485" i="1"/>
  <c r="E485" i="1"/>
  <c r="F485" i="1"/>
  <c r="A485" i="1"/>
  <c r="B106" i="1"/>
  <c r="C106" i="1"/>
  <c r="D106" i="1"/>
  <c r="E106" i="1"/>
  <c r="F106" i="1"/>
  <c r="B486" i="1"/>
  <c r="C486" i="1"/>
  <c r="D486" i="1"/>
  <c r="E486" i="1"/>
  <c r="F486" i="1"/>
  <c r="A486" i="1"/>
  <c r="B107" i="1"/>
  <c r="C107" i="1"/>
  <c r="D107" i="1"/>
  <c r="E107" i="1"/>
  <c r="F107" i="1"/>
  <c r="B487" i="1"/>
  <c r="C487" i="1"/>
  <c r="D487" i="1"/>
  <c r="E487" i="1"/>
  <c r="F487" i="1"/>
  <c r="A487" i="1"/>
  <c r="B488" i="1"/>
  <c r="C488" i="1"/>
  <c r="D488" i="1"/>
  <c r="E488" i="1"/>
  <c r="F488" i="1"/>
  <c r="A488" i="1"/>
  <c r="B489" i="1"/>
  <c r="C489" i="1"/>
  <c r="D489" i="1"/>
  <c r="E489" i="1"/>
  <c r="F489" i="1"/>
  <c r="A489" i="1"/>
  <c r="B490" i="1"/>
  <c r="C490" i="1"/>
  <c r="D490" i="1"/>
  <c r="E490" i="1"/>
  <c r="F490" i="1"/>
  <c r="A490" i="1"/>
  <c r="B491" i="1"/>
  <c r="C491" i="1"/>
  <c r="D491" i="1"/>
  <c r="E491" i="1"/>
  <c r="F491" i="1"/>
  <c r="A491" i="1"/>
  <c r="B492" i="1"/>
  <c r="C492" i="1"/>
  <c r="D492" i="1"/>
  <c r="E492" i="1"/>
  <c r="F492" i="1"/>
  <c r="A492" i="1"/>
  <c r="B108" i="1"/>
  <c r="C108" i="1"/>
  <c r="D108" i="1"/>
  <c r="E108" i="1"/>
  <c r="F108" i="1"/>
  <c r="B109" i="1"/>
  <c r="C109" i="1"/>
  <c r="D109" i="1"/>
  <c r="E109" i="1"/>
  <c r="F109" i="1"/>
  <c r="B493" i="1"/>
  <c r="C493" i="1"/>
  <c r="D493" i="1"/>
  <c r="E493" i="1"/>
  <c r="F493" i="1"/>
  <c r="A493" i="1"/>
  <c r="B494" i="1"/>
  <c r="C494" i="1"/>
  <c r="D494" i="1"/>
  <c r="E494" i="1"/>
  <c r="F494" i="1"/>
  <c r="A494" i="1"/>
  <c r="B495" i="1"/>
  <c r="C495" i="1"/>
  <c r="D495" i="1"/>
  <c r="E495" i="1"/>
  <c r="F495" i="1"/>
  <c r="A495" i="1"/>
  <c r="B496" i="1"/>
  <c r="C496" i="1"/>
  <c r="D496" i="1"/>
  <c r="E496" i="1"/>
  <c r="F496" i="1"/>
  <c r="A496" i="1"/>
  <c r="B497" i="1"/>
  <c r="C497" i="1"/>
  <c r="D497" i="1"/>
  <c r="E497" i="1"/>
  <c r="F497" i="1"/>
  <c r="A497" i="1"/>
  <c r="B498" i="1"/>
  <c r="C498" i="1"/>
  <c r="D498" i="1"/>
  <c r="E498" i="1"/>
  <c r="F498" i="1"/>
  <c r="A498" i="1"/>
  <c r="B110" i="1"/>
  <c r="C110" i="1"/>
  <c r="D110" i="1"/>
  <c r="E110" i="1"/>
  <c r="F110" i="1"/>
  <c r="B499" i="1"/>
  <c r="C499" i="1"/>
  <c r="D499" i="1"/>
  <c r="E499" i="1"/>
  <c r="F499" i="1"/>
  <c r="A499" i="1"/>
  <c r="B500" i="1"/>
  <c r="C500" i="1"/>
  <c r="D500" i="1"/>
  <c r="E500" i="1"/>
  <c r="F500" i="1"/>
  <c r="A500" i="1"/>
  <c r="B501" i="1"/>
  <c r="C501" i="1"/>
  <c r="D501" i="1"/>
  <c r="E501" i="1"/>
  <c r="F501" i="1"/>
  <c r="A501" i="1"/>
  <c r="B502" i="1"/>
  <c r="C502" i="1"/>
  <c r="D502" i="1"/>
  <c r="E502" i="1"/>
  <c r="F502" i="1"/>
  <c r="A502" i="1"/>
  <c r="B503" i="1"/>
  <c r="C503" i="1"/>
  <c r="D503" i="1"/>
  <c r="E503" i="1"/>
  <c r="F503" i="1"/>
  <c r="A503" i="1"/>
  <c r="B504" i="1"/>
  <c r="C504" i="1"/>
  <c r="D504" i="1"/>
  <c r="E504" i="1"/>
  <c r="F504" i="1"/>
  <c r="A504" i="1"/>
  <c r="B505" i="1"/>
  <c r="C505" i="1"/>
  <c r="D505" i="1"/>
  <c r="E505" i="1"/>
  <c r="F505" i="1"/>
  <c r="A505" i="1"/>
  <c r="B506" i="1"/>
  <c r="C506" i="1"/>
  <c r="D506" i="1"/>
  <c r="E506" i="1"/>
  <c r="F506" i="1"/>
  <c r="A506" i="1"/>
  <c r="B507" i="1"/>
  <c r="C507" i="1"/>
  <c r="D507" i="1"/>
  <c r="E507" i="1"/>
  <c r="F507" i="1"/>
  <c r="A507" i="1"/>
  <c r="B508" i="1"/>
  <c r="C508" i="1"/>
  <c r="D508" i="1"/>
  <c r="E508" i="1"/>
  <c r="F508" i="1"/>
  <c r="A508" i="1"/>
  <c r="B111" i="1"/>
  <c r="C111" i="1"/>
  <c r="D111" i="1"/>
  <c r="E111" i="1"/>
  <c r="F111" i="1"/>
  <c r="B509" i="1"/>
  <c r="C509" i="1"/>
  <c r="D509" i="1"/>
  <c r="E509" i="1"/>
  <c r="F509" i="1"/>
  <c r="A509" i="1"/>
  <c r="B112" i="1"/>
  <c r="C112" i="1"/>
  <c r="D112" i="1"/>
  <c r="E112" i="1"/>
  <c r="F112" i="1"/>
  <c r="B510" i="1"/>
  <c r="C510" i="1"/>
  <c r="D510" i="1"/>
  <c r="E510" i="1"/>
  <c r="F510" i="1"/>
  <c r="A510" i="1"/>
  <c r="B511" i="1"/>
  <c r="C511" i="1"/>
  <c r="D511" i="1"/>
  <c r="E511" i="1"/>
  <c r="F511" i="1"/>
  <c r="A511" i="1"/>
  <c r="B512" i="1"/>
  <c r="C512" i="1"/>
  <c r="D512" i="1"/>
  <c r="E512" i="1"/>
  <c r="F512" i="1"/>
  <c r="A512" i="1"/>
  <c r="B513" i="1"/>
  <c r="C513" i="1"/>
  <c r="D513" i="1"/>
  <c r="E513" i="1"/>
  <c r="F513" i="1"/>
  <c r="A513" i="1"/>
  <c r="B514" i="1"/>
  <c r="C514" i="1"/>
  <c r="D514" i="1"/>
  <c r="E514" i="1"/>
  <c r="F514" i="1"/>
  <c r="A514" i="1"/>
  <c r="B515" i="1"/>
  <c r="C515" i="1"/>
  <c r="D515" i="1"/>
  <c r="E515" i="1"/>
  <c r="F515" i="1"/>
  <c r="A515" i="1"/>
  <c r="B516" i="1"/>
  <c r="C516" i="1"/>
  <c r="D516" i="1"/>
  <c r="E516" i="1"/>
  <c r="F516" i="1"/>
  <c r="A516" i="1"/>
  <c r="B517" i="1"/>
  <c r="C517" i="1"/>
  <c r="D517" i="1"/>
  <c r="E517" i="1"/>
  <c r="F517" i="1"/>
  <c r="A517" i="1"/>
  <c r="B518" i="1"/>
  <c r="C518" i="1"/>
  <c r="D518" i="1"/>
  <c r="E518" i="1"/>
  <c r="F518" i="1"/>
  <c r="A518" i="1"/>
  <c r="B519" i="1"/>
  <c r="C519" i="1"/>
  <c r="D519" i="1"/>
  <c r="E519" i="1"/>
  <c r="F519" i="1"/>
  <c r="A519" i="1"/>
  <c r="B113" i="1"/>
  <c r="C113" i="1"/>
  <c r="D113" i="1"/>
  <c r="E113" i="1"/>
  <c r="F113" i="1"/>
  <c r="B520" i="1"/>
  <c r="C520" i="1"/>
  <c r="D520" i="1"/>
  <c r="E520" i="1"/>
  <c r="F520" i="1"/>
  <c r="A520" i="1"/>
  <c r="B521" i="1"/>
  <c r="C521" i="1"/>
  <c r="D521" i="1"/>
  <c r="E521" i="1"/>
  <c r="F521" i="1"/>
  <c r="A521" i="1"/>
  <c r="B522" i="1"/>
  <c r="C522" i="1"/>
  <c r="D522" i="1"/>
  <c r="E522" i="1"/>
  <c r="F522" i="1"/>
  <c r="A522" i="1"/>
  <c r="B114" i="1"/>
  <c r="C114" i="1"/>
  <c r="D114" i="1"/>
  <c r="E114" i="1"/>
  <c r="F114" i="1"/>
  <c r="B523" i="1"/>
  <c r="C523" i="1"/>
  <c r="D523" i="1"/>
  <c r="E523" i="1"/>
  <c r="F523" i="1"/>
  <c r="A523" i="1"/>
  <c r="B524" i="1"/>
  <c r="C524" i="1"/>
  <c r="D524" i="1"/>
  <c r="E524" i="1"/>
  <c r="F524" i="1"/>
  <c r="A524" i="1"/>
  <c r="B115" i="1"/>
  <c r="C115" i="1"/>
  <c r="D115" i="1"/>
  <c r="E115" i="1"/>
  <c r="F115" i="1"/>
  <c r="B116" i="1"/>
  <c r="C116" i="1"/>
  <c r="D116" i="1"/>
  <c r="E116" i="1"/>
  <c r="F116" i="1"/>
  <c r="B525" i="1"/>
  <c r="C525" i="1"/>
  <c r="D525" i="1"/>
  <c r="E525" i="1"/>
  <c r="F525" i="1"/>
  <c r="A525" i="1"/>
  <c r="B526" i="1"/>
  <c r="C526" i="1"/>
  <c r="D526" i="1"/>
  <c r="E526" i="1"/>
  <c r="F526" i="1"/>
  <c r="A526" i="1"/>
  <c r="B527" i="1"/>
  <c r="C527" i="1"/>
  <c r="D527" i="1"/>
  <c r="E527" i="1"/>
  <c r="F527" i="1"/>
  <c r="A527" i="1"/>
  <c r="B528" i="1"/>
  <c r="C528" i="1"/>
  <c r="D528" i="1"/>
  <c r="E528" i="1"/>
  <c r="F528" i="1"/>
  <c r="A528" i="1"/>
  <c r="B529" i="1"/>
  <c r="C529" i="1"/>
  <c r="D529" i="1"/>
  <c r="E529" i="1"/>
  <c r="F529" i="1"/>
  <c r="A529" i="1"/>
  <c r="B117" i="1"/>
  <c r="C117" i="1"/>
  <c r="D117" i="1"/>
  <c r="E117" i="1"/>
  <c r="F117" i="1"/>
  <c r="B118" i="1"/>
  <c r="C118" i="1"/>
  <c r="D118" i="1"/>
  <c r="E118" i="1"/>
  <c r="F118" i="1"/>
  <c r="B392" i="1"/>
  <c r="C392" i="1"/>
  <c r="D392" i="1"/>
  <c r="E392" i="1"/>
  <c r="F392" i="1"/>
  <c r="A392" i="1"/>
  <c r="B530" i="1"/>
  <c r="C530" i="1"/>
  <c r="D530" i="1"/>
  <c r="E530" i="1"/>
  <c r="F530" i="1"/>
  <c r="A530" i="1"/>
  <c r="B531" i="1"/>
  <c r="C531" i="1"/>
  <c r="D531" i="1"/>
  <c r="E531" i="1"/>
  <c r="F531" i="1"/>
  <c r="A531" i="1"/>
  <c r="B532" i="1"/>
  <c r="C532" i="1"/>
  <c r="D532" i="1"/>
  <c r="E532" i="1"/>
  <c r="F532" i="1"/>
  <c r="A532" i="1"/>
  <c r="B533" i="1"/>
  <c r="C533" i="1"/>
  <c r="D533" i="1"/>
  <c r="E533" i="1"/>
  <c r="F533" i="1"/>
  <c r="A533" i="1"/>
  <c r="B393" i="1"/>
  <c r="C393" i="1"/>
  <c r="D393" i="1"/>
  <c r="E393" i="1"/>
  <c r="F393" i="1"/>
  <c r="A393" i="1"/>
  <c r="B394" i="1"/>
  <c r="C394" i="1"/>
  <c r="D394" i="1"/>
  <c r="E394" i="1"/>
  <c r="F394" i="1"/>
  <c r="A394" i="1"/>
  <c r="B395" i="1"/>
  <c r="C395" i="1"/>
  <c r="D395" i="1"/>
  <c r="E395" i="1"/>
  <c r="F395" i="1"/>
  <c r="A395" i="1"/>
  <c r="B396" i="1"/>
  <c r="C396" i="1"/>
  <c r="D396" i="1"/>
  <c r="E396" i="1"/>
  <c r="F396" i="1"/>
  <c r="A396" i="1"/>
  <c r="B534" i="1"/>
  <c r="C534" i="1"/>
  <c r="D534" i="1"/>
  <c r="E534" i="1"/>
  <c r="F534" i="1"/>
  <c r="A534" i="1"/>
  <c r="B119" i="1"/>
  <c r="C119" i="1"/>
  <c r="D119" i="1"/>
  <c r="E119" i="1"/>
  <c r="F119" i="1"/>
  <c r="B120" i="1"/>
  <c r="C120" i="1"/>
  <c r="D120" i="1"/>
  <c r="E120" i="1"/>
  <c r="F120" i="1"/>
  <c r="B397" i="1"/>
  <c r="C397" i="1"/>
  <c r="D397" i="1"/>
  <c r="E397" i="1"/>
  <c r="F397" i="1"/>
  <c r="A397" i="1"/>
  <c r="B121" i="1"/>
  <c r="C121" i="1"/>
  <c r="D121" i="1"/>
  <c r="E121" i="1"/>
  <c r="F121" i="1"/>
  <c r="B398" i="1"/>
  <c r="C398" i="1"/>
  <c r="D398" i="1"/>
  <c r="E398" i="1"/>
  <c r="F398" i="1"/>
  <c r="A398" i="1"/>
  <c r="B122" i="1"/>
  <c r="C122" i="1"/>
  <c r="D122" i="1"/>
  <c r="E122" i="1"/>
  <c r="F122" i="1"/>
  <c r="B123" i="1"/>
  <c r="C123" i="1"/>
  <c r="D123" i="1"/>
  <c r="E123" i="1"/>
  <c r="F123" i="1"/>
  <c r="B535" i="1"/>
  <c r="C535" i="1"/>
  <c r="D535" i="1"/>
  <c r="E535" i="1"/>
  <c r="F535" i="1"/>
  <c r="A535" i="1"/>
  <c r="B536" i="1"/>
  <c r="C536" i="1"/>
  <c r="D536" i="1"/>
  <c r="E536" i="1"/>
  <c r="F536" i="1"/>
  <c r="A536" i="1"/>
  <c r="B537" i="1"/>
  <c r="C537" i="1"/>
  <c r="D537" i="1"/>
  <c r="E537" i="1"/>
  <c r="F537" i="1"/>
  <c r="A537" i="1"/>
  <c r="B538" i="1"/>
  <c r="C538" i="1"/>
  <c r="D538" i="1"/>
  <c r="E538" i="1"/>
  <c r="F538" i="1"/>
  <c r="A538" i="1"/>
  <c r="B539" i="1"/>
  <c r="C539" i="1"/>
  <c r="D539" i="1"/>
  <c r="E539" i="1"/>
  <c r="F539" i="1"/>
  <c r="A539" i="1"/>
  <c r="B124" i="1"/>
  <c r="C124" i="1"/>
  <c r="D124" i="1"/>
  <c r="E124" i="1"/>
  <c r="F124" i="1"/>
  <c r="B540" i="1"/>
  <c r="C540" i="1"/>
  <c r="D540" i="1"/>
  <c r="E540" i="1"/>
  <c r="F540" i="1"/>
  <c r="A540" i="1"/>
  <c r="B125" i="1"/>
  <c r="C125" i="1"/>
  <c r="D125" i="1"/>
  <c r="E125" i="1"/>
  <c r="F125" i="1"/>
  <c r="B399" i="1"/>
  <c r="C399" i="1"/>
  <c r="D399" i="1"/>
  <c r="E399" i="1"/>
  <c r="F399" i="1"/>
  <c r="A399" i="1"/>
  <c r="B126" i="1"/>
  <c r="C126" i="1"/>
  <c r="D126" i="1"/>
  <c r="E126" i="1"/>
  <c r="F126" i="1"/>
  <c r="B541" i="1"/>
  <c r="C541" i="1"/>
  <c r="D541" i="1"/>
  <c r="E541" i="1"/>
  <c r="F541" i="1"/>
  <c r="A541" i="1"/>
  <c r="B127" i="1"/>
  <c r="C127" i="1"/>
  <c r="D127" i="1"/>
  <c r="E127" i="1"/>
  <c r="F127" i="1"/>
  <c r="B128" i="1"/>
  <c r="C128" i="1"/>
  <c r="D128" i="1"/>
  <c r="E128" i="1"/>
  <c r="F128" i="1"/>
  <c r="B542" i="1"/>
  <c r="C542" i="1"/>
  <c r="D542" i="1"/>
  <c r="E542" i="1"/>
  <c r="F542" i="1"/>
  <c r="A542" i="1"/>
  <c r="B543" i="1"/>
  <c r="C543" i="1"/>
  <c r="D543" i="1"/>
  <c r="E543" i="1"/>
  <c r="F543" i="1"/>
  <c r="A543" i="1"/>
  <c r="B129" i="1"/>
  <c r="C129" i="1"/>
  <c r="D129" i="1"/>
  <c r="E129" i="1"/>
  <c r="F129" i="1"/>
  <c r="B130" i="1"/>
  <c r="C130" i="1"/>
  <c r="D130" i="1"/>
  <c r="E130" i="1"/>
  <c r="F130" i="1"/>
  <c r="B131" i="1"/>
  <c r="C131" i="1"/>
  <c r="D131" i="1"/>
  <c r="E131" i="1"/>
  <c r="F131" i="1"/>
  <c r="B132" i="1"/>
  <c r="C132" i="1"/>
  <c r="D132" i="1"/>
  <c r="E132" i="1"/>
  <c r="F132" i="1"/>
  <c r="B133" i="1"/>
  <c r="C133" i="1"/>
  <c r="D133" i="1"/>
  <c r="E133" i="1"/>
  <c r="F133" i="1"/>
  <c r="B134" i="1"/>
  <c r="C134" i="1"/>
  <c r="D134" i="1"/>
  <c r="E134" i="1"/>
  <c r="F134" i="1"/>
  <c r="B135" i="1"/>
  <c r="C135" i="1"/>
  <c r="D135" i="1"/>
  <c r="E135" i="1"/>
  <c r="F135" i="1"/>
  <c r="B136" i="1"/>
  <c r="C136" i="1"/>
  <c r="D136" i="1"/>
  <c r="E136" i="1"/>
  <c r="F136" i="1"/>
  <c r="B137" i="1"/>
  <c r="C137" i="1"/>
  <c r="D137" i="1"/>
  <c r="E137" i="1"/>
  <c r="F137" i="1"/>
  <c r="B138" i="1"/>
  <c r="C138" i="1"/>
  <c r="D138" i="1"/>
  <c r="E138" i="1"/>
  <c r="F138" i="1"/>
  <c r="B544" i="1"/>
  <c r="C544" i="1"/>
  <c r="D544" i="1"/>
  <c r="E544" i="1"/>
  <c r="F544" i="1"/>
  <c r="A544" i="1"/>
  <c r="B545" i="1"/>
  <c r="C545" i="1"/>
  <c r="D545" i="1"/>
  <c r="E545" i="1"/>
  <c r="F545" i="1"/>
  <c r="A545" i="1"/>
  <c r="B139" i="1"/>
  <c r="C139" i="1"/>
  <c r="D139" i="1"/>
  <c r="E139" i="1"/>
  <c r="F139" i="1"/>
  <c r="B140" i="1"/>
  <c r="C140" i="1"/>
  <c r="D140" i="1"/>
  <c r="E140" i="1"/>
  <c r="F140" i="1"/>
  <c r="B546" i="1"/>
  <c r="C546" i="1"/>
  <c r="D546" i="1"/>
  <c r="E546" i="1"/>
  <c r="F546" i="1"/>
  <c r="A546" i="1"/>
  <c r="B547" i="1"/>
  <c r="C547" i="1"/>
  <c r="D547" i="1"/>
  <c r="E547" i="1"/>
  <c r="F547" i="1"/>
  <c r="A547" i="1"/>
  <c r="B548" i="1"/>
  <c r="C548" i="1"/>
  <c r="D548" i="1"/>
  <c r="E548" i="1"/>
  <c r="F548" i="1"/>
  <c r="A548" i="1"/>
  <c r="B549" i="1"/>
  <c r="C549" i="1"/>
  <c r="D549" i="1"/>
  <c r="E549" i="1"/>
  <c r="F549" i="1"/>
  <c r="A549" i="1"/>
  <c r="B141" i="1"/>
  <c r="C141" i="1"/>
  <c r="D141" i="1"/>
  <c r="E141" i="1"/>
  <c r="F141" i="1"/>
  <c r="B142" i="1"/>
  <c r="C142" i="1"/>
  <c r="D142" i="1"/>
  <c r="E142" i="1"/>
  <c r="F142" i="1"/>
  <c r="B550" i="1"/>
  <c r="C550" i="1"/>
  <c r="D550" i="1"/>
  <c r="E550" i="1"/>
  <c r="F550" i="1"/>
  <c r="A550" i="1"/>
  <c r="B400" i="1"/>
  <c r="C400" i="1"/>
  <c r="D400" i="1"/>
  <c r="E400" i="1"/>
  <c r="F400" i="1"/>
  <c r="A400" i="1"/>
  <c r="B143" i="1"/>
  <c r="C143" i="1"/>
  <c r="D143" i="1"/>
  <c r="E143" i="1"/>
  <c r="F143" i="1"/>
  <c r="B551" i="1"/>
  <c r="C551" i="1"/>
  <c r="D551" i="1"/>
  <c r="E551" i="1"/>
  <c r="F551" i="1"/>
  <c r="A551" i="1"/>
  <c r="B552" i="1"/>
  <c r="C552" i="1"/>
  <c r="D552" i="1"/>
  <c r="E552" i="1"/>
  <c r="F552" i="1"/>
  <c r="A552" i="1"/>
  <c r="B553" i="1"/>
  <c r="C553" i="1"/>
  <c r="D553" i="1"/>
  <c r="E553" i="1"/>
  <c r="F553" i="1"/>
  <c r="A553" i="1"/>
  <c r="B554" i="1"/>
  <c r="C554" i="1"/>
  <c r="D554" i="1"/>
  <c r="E554" i="1"/>
  <c r="F554" i="1"/>
  <c r="A554" i="1"/>
  <c r="B144" i="1"/>
  <c r="C144" i="1"/>
  <c r="D144" i="1"/>
  <c r="E144" i="1"/>
  <c r="F144" i="1"/>
  <c r="B145" i="1"/>
  <c r="C145" i="1"/>
  <c r="D145" i="1"/>
  <c r="E145" i="1"/>
  <c r="F145" i="1"/>
  <c r="B146" i="1"/>
  <c r="C146" i="1"/>
  <c r="D146" i="1"/>
  <c r="E146" i="1"/>
  <c r="F146" i="1"/>
  <c r="B147" i="1"/>
  <c r="C147" i="1"/>
  <c r="D147" i="1"/>
  <c r="E147" i="1"/>
  <c r="F147" i="1"/>
  <c r="B401" i="1"/>
  <c r="C401" i="1"/>
  <c r="D401" i="1"/>
  <c r="E401" i="1"/>
  <c r="F401" i="1"/>
  <c r="A401" i="1"/>
  <c r="B148" i="1"/>
  <c r="C148" i="1"/>
  <c r="D148" i="1"/>
  <c r="E148" i="1"/>
  <c r="F148" i="1"/>
  <c r="B149" i="1"/>
  <c r="C149" i="1"/>
  <c r="D149" i="1"/>
  <c r="E149" i="1"/>
  <c r="F149" i="1"/>
  <c r="B150" i="1"/>
  <c r="C150" i="1"/>
  <c r="D150" i="1"/>
  <c r="E150" i="1"/>
  <c r="F150" i="1"/>
  <c r="B151" i="1"/>
  <c r="C151" i="1"/>
  <c r="D151" i="1"/>
  <c r="E151" i="1"/>
  <c r="F151" i="1"/>
  <c r="B152" i="1"/>
  <c r="C152" i="1"/>
  <c r="D152" i="1"/>
  <c r="E152" i="1"/>
  <c r="F152" i="1"/>
  <c r="B555" i="1"/>
  <c r="C555" i="1"/>
  <c r="D555" i="1"/>
  <c r="E555" i="1"/>
  <c r="F555" i="1"/>
  <c r="A555" i="1"/>
  <c r="B153" i="1"/>
  <c r="C153" i="1"/>
  <c r="D153" i="1"/>
  <c r="E153" i="1"/>
  <c r="F153" i="1"/>
  <c r="B154" i="1"/>
  <c r="C154" i="1"/>
  <c r="D154" i="1"/>
  <c r="E154" i="1"/>
  <c r="F154" i="1"/>
  <c r="B155" i="1"/>
  <c r="C155" i="1"/>
  <c r="D155" i="1"/>
  <c r="E155" i="1"/>
  <c r="F155" i="1"/>
  <c r="B556" i="1"/>
  <c r="C556" i="1"/>
  <c r="D556" i="1"/>
  <c r="E556" i="1"/>
  <c r="F556" i="1"/>
  <c r="A556" i="1"/>
  <c r="B156" i="1"/>
  <c r="C156" i="1"/>
  <c r="D156" i="1"/>
  <c r="E156" i="1"/>
  <c r="F156" i="1"/>
  <c r="B157" i="1"/>
  <c r="C157" i="1"/>
  <c r="D157" i="1"/>
  <c r="E157" i="1"/>
  <c r="F157" i="1"/>
  <c r="B158" i="1"/>
  <c r="C158" i="1"/>
  <c r="D158" i="1"/>
  <c r="E158" i="1"/>
  <c r="F158" i="1"/>
  <c r="B159" i="1"/>
  <c r="C159" i="1"/>
  <c r="D159" i="1"/>
  <c r="E159" i="1"/>
  <c r="F159" i="1"/>
  <c r="B160" i="1"/>
  <c r="C160" i="1"/>
  <c r="D160" i="1"/>
  <c r="E160" i="1"/>
  <c r="F160" i="1"/>
  <c r="B161" i="1"/>
  <c r="C161" i="1"/>
  <c r="D161" i="1"/>
  <c r="E161" i="1"/>
  <c r="F161" i="1"/>
  <c r="B162" i="1"/>
  <c r="C162" i="1"/>
  <c r="D162" i="1"/>
  <c r="E162" i="1"/>
  <c r="F162" i="1"/>
  <c r="B163" i="1"/>
  <c r="C163" i="1"/>
  <c r="D163" i="1"/>
  <c r="E163" i="1"/>
  <c r="F163" i="1"/>
  <c r="B164" i="1"/>
  <c r="C164" i="1"/>
  <c r="D164" i="1"/>
  <c r="E164" i="1"/>
  <c r="F164" i="1"/>
  <c r="B165" i="1"/>
  <c r="C165" i="1"/>
  <c r="D165" i="1"/>
  <c r="E165" i="1"/>
  <c r="F165" i="1"/>
  <c r="B166" i="1"/>
  <c r="C166" i="1"/>
  <c r="D166" i="1"/>
  <c r="E166" i="1"/>
  <c r="F166" i="1"/>
  <c r="B557" i="1"/>
  <c r="C557" i="1"/>
  <c r="D557" i="1"/>
  <c r="E557" i="1"/>
  <c r="F557" i="1"/>
  <c r="A557" i="1"/>
  <c r="B167" i="1"/>
  <c r="C167" i="1"/>
  <c r="D167" i="1"/>
  <c r="E167" i="1"/>
  <c r="F167" i="1"/>
  <c r="B168" i="1"/>
  <c r="C168" i="1"/>
  <c r="D168" i="1"/>
  <c r="E168" i="1"/>
  <c r="F168" i="1"/>
  <c r="B558" i="1"/>
  <c r="C558" i="1"/>
  <c r="D558" i="1"/>
  <c r="E558" i="1"/>
  <c r="F558" i="1"/>
  <c r="A558" i="1"/>
  <c r="B559" i="1"/>
  <c r="C559" i="1"/>
  <c r="D559" i="1"/>
  <c r="E559" i="1"/>
  <c r="F559" i="1"/>
  <c r="A559" i="1"/>
  <c r="B402" i="1"/>
  <c r="C402" i="1"/>
  <c r="D402" i="1"/>
  <c r="E402" i="1"/>
  <c r="F402" i="1"/>
  <c r="A402" i="1"/>
  <c r="B169" i="1"/>
  <c r="C169" i="1"/>
  <c r="D169" i="1"/>
  <c r="E169" i="1"/>
  <c r="F169" i="1"/>
  <c r="B170" i="1"/>
  <c r="C170" i="1"/>
  <c r="D170" i="1"/>
  <c r="E170" i="1"/>
  <c r="F170" i="1"/>
  <c r="B171" i="1"/>
  <c r="C171" i="1"/>
  <c r="D171" i="1"/>
  <c r="E171" i="1"/>
  <c r="F171" i="1"/>
  <c r="B560" i="1"/>
  <c r="C560" i="1"/>
  <c r="D560" i="1"/>
  <c r="E560" i="1"/>
  <c r="F560" i="1"/>
  <c r="A560" i="1"/>
  <c r="B172" i="1"/>
  <c r="C172" i="1"/>
  <c r="D172" i="1"/>
  <c r="E172" i="1"/>
  <c r="F172" i="1"/>
  <c r="B173" i="1"/>
  <c r="C173" i="1"/>
  <c r="D173" i="1"/>
  <c r="E173" i="1"/>
  <c r="F173" i="1"/>
  <c r="B174" i="1"/>
  <c r="C174" i="1"/>
  <c r="D174" i="1"/>
  <c r="E174" i="1"/>
  <c r="F174" i="1"/>
  <c r="B175" i="1"/>
  <c r="C175" i="1"/>
  <c r="D175" i="1"/>
  <c r="E175" i="1"/>
  <c r="F175" i="1"/>
  <c r="B176" i="1"/>
  <c r="C176" i="1"/>
  <c r="D176" i="1"/>
  <c r="E176" i="1"/>
  <c r="F176" i="1"/>
  <c r="B561" i="1"/>
  <c r="C561" i="1"/>
  <c r="D561" i="1"/>
  <c r="E561" i="1"/>
  <c r="F561" i="1"/>
  <c r="A561" i="1"/>
  <c r="B177" i="1"/>
  <c r="C177" i="1"/>
  <c r="D177" i="1"/>
  <c r="E177" i="1"/>
  <c r="F177" i="1"/>
  <c r="B178" i="1"/>
  <c r="C178" i="1"/>
  <c r="D178" i="1"/>
  <c r="E178" i="1"/>
  <c r="F178" i="1"/>
  <c r="B562" i="1"/>
  <c r="C562" i="1"/>
  <c r="D562" i="1"/>
  <c r="E562" i="1"/>
  <c r="F562" i="1"/>
  <c r="A562" i="1"/>
  <c r="B179" i="1"/>
  <c r="C179" i="1"/>
  <c r="D179" i="1"/>
  <c r="E179" i="1"/>
  <c r="F179" i="1"/>
  <c r="B180" i="1"/>
  <c r="C180" i="1"/>
  <c r="D180" i="1"/>
  <c r="E180" i="1"/>
  <c r="F180" i="1"/>
  <c r="B181" i="1"/>
  <c r="C181" i="1"/>
  <c r="D181" i="1"/>
  <c r="E181" i="1"/>
  <c r="F181" i="1"/>
  <c r="B182" i="1"/>
  <c r="C182" i="1"/>
  <c r="D182" i="1"/>
  <c r="E182" i="1"/>
  <c r="F182" i="1"/>
  <c r="B183" i="1"/>
  <c r="C183" i="1"/>
  <c r="D183" i="1"/>
  <c r="E183" i="1"/>
  <c r="F183" i="1"/>
  <c r="B184" i="1"/>
  <c r="C184" i="1"/>
  <c r="D184" i="1"/>
  <c r="E184" i="1"/>
  <c r="F184" i="1"/>
  <c r="B185" i="1"/>
  <c r="C185" i="1"/>
  <c r="D185" i="1"/>
  <c r="E185" i="1"/>
  <c r="F185" i="1"/>
  <c r="B186" i="1"/>
  <c r="C186" i="1"/>
  <c r="D186" i="1"/>
  <c r="E186" i="1"/>
  <c r="F186" i="1"/>
  <c r="B187" i="1"/>
  <c r="C187" i="1"/>
  <c r="D187" i="1"/>
  <c r="E187" i="1"/>
  <c r="F187" i="1"/>
  <c r="B188" i="1"/>
  <c r="C188" i="1"/>
  <c r="D188" i="1"/>
  <c r="E188" i="1"/>
  <c r="F188" i="1"/>
  <c r="B189" i="1"/>
  <c r="C189" i="1"/>
  <c r="D189" i="1"/>
  <c r="E189" i="1"/>
  <c r="F189" i="1"/>
  <c r="B190" i="1"/>
  <c r="C190" i="1"/>
  <c r="D190" i="1"/>
  <c r="E190" i="1"/>
  <c r="F190" i="1"/>
  <c r="B191" i="1"/>
  <c r="C191" i="1"/>
  <c r="D191" i="1"/>
  <c r="E191" i="1"/>
  <c r="F191" i="1"/>
  <c r="B192" i="1"/>
  <c r="C192" i="1"/>
  <c r="D192" i="1"/>
  <c r="E192" i="1"/>
  <c r="F192" i="1"/>
  <c r="B193" i="1"/>
  <c r="C193" i="1"/>
  <c r="D193" i="1"/>
  <c r="E193" i="1"/>
  <c r="F193" i="1"/>
  <c r="B194" i="1"/>
  <c r="C194" i="1"/>
  <c r="D194" i="1"/>
  <c r="E194" i="1"/>
  <c r="F194" i="1"/>
  <c r="B195" i="1"/>
  <c r="C195" i="1"/>
  <c r="D195" i="1"/>
  <c r="E195" i="1"/>
  <c r="F195" i="1"/>
  <c r="B196" i="1"/>
  <c r="C196" i="1"/>
  <c r="D196" i="1"/>
  <c r="E196" i="1"/>
  <c r="F196" i="1"/>
  <c r="B197" i="1"/>
  <c r="C197" i="1"/>
  <c r="D197" i="1"/>
  <c r="E197" i="1"/>
  <c r="F197" i="1"/>
  <c r="B198" i="1"/>
  <c r="C198" i="1"/>
  <c r="D198" i="1"/>
  <c r="E198" i="1"/>
  <c r="F198" i="1"/>
  <c r="B199" i="1"/>
  <c r="C199" i="1"/>
  <c r="D199" i="1"/>
  <c r="E199" i="1"/>
  <c r="F199" i="1"/>
  <c r="B200" i="1"/>
  <c r="C200" i="1"/>
  <c r="D200" i="1"/>
  <c r="E200" i="1"/>
  <c r="F200" i="1"/>
  <c r="B201" i="1"/>
  <c r="C201" i="1"/>
  <c r="D201" i="1"/>
  <c r="E201" i="1"/>
  <c r="F201" i="1"/>
  <c r="B202" i="1"/>
  <c r="C202" i="1"/>
  <c r="D202" i="1"/>
  <c r="E202" i="1"/>
  <c r="F202" i="1"/>
  <c r="B203" i="1"/>
  <c r="C203" i="1"/>
  <c r="D203" i="1"/>
  <c r="E203" i="1"/>
  <c r="F203" i="1"/>
  <c r="B204" i="1"/>
  <c r="C204" i="1"/>
  <c r="D204" i="1"/>
  <c r="E204" i="1"/>
  <c r="F204" i="1"/>
  <c r="B205" i="1"/>
  <c r="C205" i="1"/>
  <c r="D205" i="1"/>
  <c r="E205" i="1"/>
  <c r="F205" i="1"/>
  <c r="B206" i="1"/>
  <c r="C206" i="1"/>
  <c r="D206" i="1"/>
  <c r="E206" i="1"/>
  <c r="F206" i="1"/>
  <c r="B207" i="1"/>
  <c r="C207" i="1"/>
  <c r="D207" i="1"/>
  <c r="E207" i="1"/>
  <c r="F207" i="1"/>
  <c r="B208" i="1"/>
  <c r="C208" i="1"/>
  <c r="D208" i="1"/>
  <c r="E208" i="1"/>
  <c r="F208" i="1"/>
  <c r="B209" i="1"/>
  <c r="C209" i="1"/>
  <c r="D209" i="1"/>
  <c r="E209" i="1"/>
  <c r="F209" i="1"/>
  <c r="B210" i="1"/>
  <c r="C210" i="1"/>
  <c r="D210" i="1"/>
  <c r="E210" i="1"/>
  <c r="F210" i="1"/>
  <c r="B211" i="1"/>
  <c r="C211" i="1"/>
  <c r="D211" i="1"/>
  <c r="E211" i="1"/>
  <c r="F211" i="1"/>
  <c r="B563" i="1"/>
  <c r="C563" i="1"/>
  <c r="D563" i="1"/>
  <c r="E563" i="1"/>
  <c r="F563" i="1"/>
  <c r="A563" i="1"/>
  <c r="B564" i="1"/>
  <c r="C564" i="1"/>
  <c r="D564" i="1"/>
  <c r="E564" i="1"/>
  <c r="F564" i="1"/>
  <c r="A564" i="1"/>
  <c r="B565" i="1"/>
  <c r="C565" i="1"/>
  <c r="D565" i="1"/>
  <c r="E565" i="1"/>
  <c r="F565" i="1"/>
  <c r="A565" i="1"/>
  <c r="B212" i="1"/>
  <c r="C212" i="1"/>
  <c r="D212" i="1"/>
  <c r="E212" i="1"/>
  <c r="F212" i="1"/>
  <c r="B566" i="1"/>
  <c r="C566" i="1"/>
  <c r="D566" i="1"/>
  <c r="E566" i="1"/>
  <c r="F566" i="1"/>
  <c r="A566" i="1"/>
  <c r="B213" i="1"/>
  <c r="C213" i="1"/>
  <c r="D213" i="1"/>
  <c r="E213" i="1"/>
  <c r="F213" i="1"/>
  <c r="B214" i="1"/>
  <c r="C214" i="1"/>
  <c r="D214" i="1"/>
  <c r="E214" i="1"/>
  <c r="F214" i="1"/>
  <c r="B215" i="1"/>
  <c r="C215" i="1"/>
  <c r="D215" i="1"/>
  <c r="E215" i="1"/>
  <c r="F215" i="1"/>
  <c r="B567" i="1"/>
  <c r="C567" i="1"/>
  <c r="D567" i="1"/>
  <c r="E567" i="1"/>
  <c r="F567" i="1"/>
  <c r="A567" i="1"/>
  <c r="B216" i="1"/>
  <c r="C216" i="1"/>
  <c r="D216" i="1"/>
  <c r="E216" i="1"/>
  <c r="F216" i="1"/>
  <c r="B217" i="1"/>
  <c r="C217" i="1"/>
  <c r="D217" i="1"/>
  <c r="E217" i="1"/>
  <c r="F217" i="1"/>
  <c r="B218" i="1"/>
  <c r="C218" i="1"/>
  <c r="D218" i="1"/>
  <c r="E218" i="1"/>
  <c r="F218" i="1"/>
  <c r="B219" i="1"/>
  <c r="C219" i="1"/>
  <c r="D219" i="1"/>
  <c r="E219" i="1"/>
  <c r="F219" i="1"/>
  <c r="B220" i="1"/>
  <c r="C220" i="1"/>
  <c r="D220" i="1"/>
  <c r="E220" i="1"/>
  <c r="F220" i="1"/>
  <c r="B221" i="1"/>
  <c r="C221" i="1"/>
  <c r="D221" i="1"/>
  <c r="E221" i="1"/>
  <c r="F221" i="1"/>
  <c r="B222" i="1"/>
  <c r="C222" i="1"/>
  <c r="D222" i="1"/>
  <c r="E222" i="1"/>
  <c r="F222" i="1"/>
  <c r="B223" i="1"/>
  <c r="C223" i="1"/>
  <c r="D223" i="1"/>
  <c r="E223" i="1"/>
  <c r="F223" i="1"/>
  <c r="B568" i="1"/>
  <c r="C568" i="1"/>
  <c r="D568" i="1"/>
  <c r="E568" i="1"/>
  <c r="F568" i="1"/>
  <c r="A568" i="1"/>
  <c r="B569" i="1"/>
  <c r="C569" i="1"/>
  <c r="D569" i="1"/>
  <c r="E569" i="1"/>
  <c r="F569" i="1"/>
  <c r="A569" i="1"/>
  <c r="B570" i="1"/>
  <c r="C570" i="1"/>
  <c r="D570" i="1"/>
  <c r="E570" i="1"/>
  <c r="F570" i="1"/>
  <c r="A570" i="1"/>
  <c r="B224" i="1"/>
  <c r="C224" i="1"/>
  <c r="D224" i="1"/>
  <c r="E224" i="1"/>
  <c r="F224" i="1"/>
  <c r="B225" i="1"/>
  <c r="C225" i="1"/>
  <c r="D225" i="1"/>
  <c r="E225" i="1"/>
  <c r="F225" i="1"/>
  <c r="B571" i="1"/>
  <c r="C571" i="1"/>
  <c r="D571" i="1"/>
  <c r="E571" i="1"/>
  <c r="F571" i="1"/>
  <c r="A571" i="1"/>
  <c r="B572" i="1"/>
  <c r="C572" i="1"/>
  <c r="D572" i="1"/>
  <c r="E572" i="1"/>
  <c r="F572" i="1"/>
  <c r="A572" i="1"/>
  <c r="B573" i="1"/>
  <c r="C573" i="1"/>
  <c r="D573" i="1"/>
  <c r="E573" i="1"/>
  <c r="F573" i="1"/>
  <c r="A573" i="1"/>
  <c r="B226" i="1"/>
  <c r="C226" i="1"/>
  <c r="D226" i="1"/>
  <c r="E226" i="1"/>
  <c r="F226" i="1"/>
  <c r="B227" i="1"/>
  <c r="C227" i="1"/>
  <c r="D227" i="1"/>
  <c r="E227" i="1"/>
  <c r="F227" i="1"/>
  <c r="B228" i="1"/>
  <c r="C228" i="1"/>
  <c r="D228" i="1"/>
  <c r="E228" i="1"/>
  <c r="F228" i="1"/>
  <c r="B229" i="1"/>
  <c r="C229" i="1"/>
  <c r="D229" i="1"/>
  <c r="E229" i="1"/>
  <c r="F229" i="1"/>
  <c r="B230" i="1"/>
  <c r="C230" i="1"/>
  <c r="D230" i="1"/>
  <c r="E230" i="1"/>
  <c r="F230" i="1"/>
  <c r="B231" i="1"/>
  <c r="C231" i="1"/>
  <c r="D231" i="1"/>
  <c r="E231" i="1"/>
  <c r="F231" i="1"/>
  <c r="B232" i="1"/>
  <c r="C232" i="1"/>
  <c r="D232" i="1"/>
  <c r="E232" i="1"/>
  <c r="F232" i="1"/>
  <c r="B233" i="1"/>
  <c r="C233" i="1"/>
  <c r="D233" i="1"/>
  <c r="E233" i="1"/>
  <c r="F233" i="1"/>
  <c r="B234" i="1"/>
  <c r="C234" i="1"/>
  <c r="D234" i="1"/>
  <c r="E234" i="1"/>
  <c r="F234" i="1"/>
  <c r="B235" i="1"/>
  <c r="C235" i="1"/>
  <c r="D235" i="1"/>
  <c r="E235" i="1"/>
  <c r="F235" i="1"/>
  <c r="B236" i="1"/>
  <c r="C236" i="1"/>
  <c r="D236" i="1"/>
  <c r="E236" i="1"/>
  <c r="F236" i="1"/>
  <c r="B237" i="1"/>
  <c r="C237" i="1"/>
  <c r="D237" i="1"/>
  <c r="E237" i="1"/>
  <c r="F237" i="1"/>
  <c r="B238" i="1"/>
  <c r="C238" i="1"/>
  <c r="D238" i="1"/>
  <c r="E238" i="1"/>
  <c r="F238" i="1"/>
  <c r="B574" i="1"/>
  <c r="C574" i="1"/>
  <c r="D574" i="1"/>
  <c r="E574" i="1"/>
  <c r="F574" i="1"/>
  <c r="A574" i="1"/>
  <c r="B239" i="1"/>
  <c r="C239" i="1"/>
  <c r="D239" i="1"/>
  <c r="E239" i="1"/>
  <c r="F239" i="1"/>
  <c r="B240" i="1"/>
  <c r="C240" i="1"/>
  <c r="D240" i="1"/>
  <c r="E240" i="1"/>
  <c r="F240" i="1"/>
  <c r="B575" i="1"/>
  <c r="C575" i="1"/>
  <c r="D575" i="1"/>
  <c r="E575" i="1"/>
  <c r="F575" i="1"/>
  <c r="A575" i="1"/>
  <c r="B576" i="1"/>
  <c r="C576" i="1"/>
  <c r="D576" i="1"/>
  <c r="E576" i="1"/>
  <c r="F576" i="1"/>
  <c r="A576" i="1"/>
  <c r="B241" i="1"/>
  <c r="C241" i="1"/>
  <c r="D241" i="1"/>
  <c r="E241" i="1"/>
  <c r="F241" i="1"/>
  <c r="B242" i="1"/>
  <c r="C242" i="1"/>
  <c r="D242" i="1"/>
  <c r="E242" i="1"/>
  <c r="F242" i="1"/>
  <c r="B243" i="1"/>
  <c r="C243" i="1"/>
  <c r="D243" i="1"/>
  <c r="E243" i="1"/>
  <c r="F243" i="1"/>
  <c r="B244" i="1"/>
  <c r="C244" i="1"/>
  <c r="D244" i="1"/>
  <c r="E244" i="1"/>
  <c r="F244" i="1"/>
  <c r="B245" i="1"/>
  <c r="C245" i="1"/>
  <c r="D245" i="1"/>
  <c r="E245" i="1"/>
  <c r="F245" i="1"/>
  <c r="B246" i="1"/>
  <c r="C246" i="1"/>
  <c r="D246" i="1"/>
  <c r="E246" i="1"/>
  <c r="F246" i="1"/>
  <c r="B247" i="1"/>
  <c r="C247" i="1"/>
  <c r="D247" i="1"/>
  <c r="E247" i="1"/>
  <c r="F247" i="1"/>
  <c r="B248" i="1"/>
  <c r="C248" i="1"/>
  <c r="D248" i="1"/>
  <c r="E248" i="1"/>
  <c r="F248" i="1"/>
  <c r="B249" i="1"/>
  <c r="C249" i="1"/>
  <c r="D249" i="1"/>
  <c r="E249" i="1"/>
  <c r="F249" i="1"/>
  <c r="B250" i="1"/>
  <c r="C250" i="1"/>
  <c r="D250" i="1"/>
  <c r="E250" i="1"/>
  <c r="F250" i="1"/>
  <c r="B251" i="1"/>
  <c r="C251" i="1"/>
  <c r="D251" i="1"/>
  <c r="E251" i="1"/>
  <c r="F251" i="1"/>
  <c r="B252" i="1"/>
  <c r="C252" i="1"/>
  <c r="D252" i="1"/>
  <c r="E252" i="1"/>
  <c r="F252" i="1"/>
  <c r="B253" i="1"/>
  <c r="C253" i="1"/>
  <c r="D253" i="1"/>
  <c r="E253" i="1"/>
  <c r="F253" i="1"/>
  <c r="B254" i="1"/>
  <c r="C254" i="1"/>
  <c r="D254" i="1"/>
  <c r="E254" i="1"/>
  <c r="F254" i="1"/>
  <c r="B255" i="1"/>
  <c r="C255" i="1"/>
  <c r="D255" i="1"/>
  <c r="E255" i="1"/>
  <c r="F255" i="1"/>
  <c r="B256" i="1"/>
  <c r="C256" i="1"/>
  <c r="D256" i="1"/>
  <c r="E256" i="1"/>
  <c r="F256" i="1"/>
  <c r="B257" i="1"/>
  <c r="C257" i="1"/>
  <c r="D257" i="1"/>
  <c r="E257" i="1"/>
  <c r="F257" i="1"/>
  <c r="B258" i="1"/>
  <c r="C258" i="1"/>
  <c r="D258" i="1"/>
  <c r="E258" i="1"/>
  <c r="F258" i="1"/>
  <c r="B259" i="1"/>
  <c r="C259" i="1"/>
  <c r="D259" i="1"/>
  <c r="E259" i="1"/>
  <c r="F259" i="1"/>
  <c r="B260" i="1"/>
  <c r="C260" i="1"/>
  <c r="D260" i="1"/>
  <c r="E260" i="1"/>
  <c r="F260" i="1"/>
  <c r="B261" i="1"/>
  <c r="C261" i="1"/>
  <c r="D261" i="1"/>
  <c r="E261" i="1"/>
  <c r="F261" i="1"/>
  <c r="B262" i="1"/>
  <c r="C262" i="1"/>
  <c r="D262" i="1"/>
  <c r="E262" i="1"/>
  <c r="F262" i="1"/>
  <c r="B263" i="1"/>
  <c r="C263" i="1"/>
  <c r="D263" i="1"/>
  <c r="E263" i="1"/>
  <c r="F263" i="1"/>
  <c r="B264" i="1"/>
  <c r="C264" i="1"/>
  <c r="D264" i="1"/>
  <c r="E264" i="1"/>
  <c r="F264" i="1"/>
  <c r="B265" i="1"/>
  <c r="C265" i="1"/>
  <c r="D265" i="1"/>
  <c r="E265" i="1"/>
  <c r="F265" i="1"/>
  <c r="B266" i="1"/>
  <c r="C266" i="1"/>
  <c r="D266" i="1"/>
  <c r="E266" i="1"/>
  <c r="F266" i="1"/>
  <c r="B267" i="1"/>
  <c r="C267" i="1"/>
  <c r="D267" i="1"/>
  <c r="E267" i="1"/>
  <c r="F267" i="1"/>
  <c r="B268" i="1"/>
  <c r="C268" i="1"/>
  <c r="D268" i="1"/>
  <c r="E268" i="1"/>
  <c r="F268" i="1"/>
  <c r="B269" i="1"/>
  <c r="C269" i="1"/>
  <c r="D269" i="1"/>
  <c r="E269" i="1"/>
  <c r="F269" i="1"/>
  <c r="B270" i="1"/>
  <c r="C270" i="1"/>
  <c r="D270" i="1"/>
  <c r="E270" i="1"/>
  <c r="F270" i="1"/>
  <c r="B577" i="1"/>
  <c r="C577" i="1"/>
  <c r="D577" i="1"/>
  <c r="E577" i="1"/>
  <c r="F577" i="1"/>
  <c r="A577" i="1"/>
  <c r="B578" i="1"/>
  <c r="C578" i="1"/>
  <c r="D578" i="1"/>
  <c r="E578" i="1"/>
  <c r="F578" i="1"/>
  <c r="A578" i="1"/>
  <c r="B579" i="1"/>
  <c r="C579" i="1"/>
  <c r="D579" i="1"/>
  <c r="E579" i="1"/>
  <c r="F579" i="1"/>
  <c r="A579" i="1"/>
  <c r="B271" i="1"/>
  <c r="C271" i="1"/>
  <c r="D271" i="1"/>
  <c r="E271" i="1"/>
  <c r="F271" i="1"/>
  <c r="B272" i="1"/>
  <c r="C272" i="1"/>
  <c r="D272" i="1"/>
  <c r="E272" i="1"/>
  <c r="F272" i="1"/>
  <c r="B273" i="1"/>
  <c r="C273" i="1"/>
  <c r="D273" i="1"/>
  <c r="E273" i="1"/>
  <c r="F273" i="1"/>
  <c r="B274" i="1"/>
  <c r="C274" i="1"/>
  <c r="D274" i="1"/>
  <c r="E274" i="1"/>
  <c r="F274" i="1"/>
  <c r="B275" i="1"/>
  <c r="C275" i="1"/>
  <c r="D275" i="1"/>
  <c r="E275" i="1"/>
  <c r="F275" i="1"/>
  <c r="B276" i="1"/>
  <c r="C276" i="1"/>
  <c r="D276" i="1"/>
  <c r="E276" i="1"/>
  <c r="F276" i="1"/>
  <c r="B580" i="1"/>
  <c r="C580" i="1"/>
  <c r="D580" i="1"/>
  <c r="E580" i="1"/>
  <c r="F580" i="1"/>
  <c r="A580" i="1"/>
  <c r="B581" i="1"/>
  <c r="C581" i="1"/>
  <c r="D581" i="1"/>
  <c r="E581" i="1"/>
  <c r="F581" i="1"/>
  <c r="A581" i="1"/>
  <c r="B582" i="1"/>
  <c r="C582" i="1"/>
  <c r="D582" i="1"/>
  <c r="E582" i="1"/>
  <c r="F582" i="1"/>
  <c r="A582" i="1"/>
  <c r="B583" i="1"/>
  <c r="C583" i="1"/>
  <c r="D583" i="1"/>
  <c r="E583" i="1"/>
  <c r="F583" i="1"/>
  <c r="A583" i="1"/>
  <c r="B277" i="1"/>
  <c r="C277" i="1"/>
  <c r="D277" i="1"/>
  <c r="E277" i="1"/>
  <c r="F277" i="1"/>
  <c r="B278" i="1"/>
  <c r="C278" i="1"/>
  <c r="D278" i="1"/>
  <c r="E278" i="1"/>
  <c r="F278" i="1"/>
  <c r="B279" i="1"/>
  <c r="C279" i="1"/>
  <c r="D279" i="1"/>
  <c r="E279" i="1"/>
  <c r="F279" i="1"/>
  <c r="B280" i="1"/>
  <c r="C280" i="1"/>
  <c r="D280" i="1"/>
  <c r="E280" i="1"/>
  <c r="F280" i="1"/>
  <c r="B281" i="1"/>
  <c r="C281" i="1"/>
  <c r="D281" i="1"/>
  <c r="E281" i="1"/>
  <c r="F281" i="1"/>
  <c r="B282" i="1"/>
  <c r="C282" i="1"/>
  <c r="D282" i="1"/>
  <c r="E282" i="1"/>
  <c r="F282" i="1"/>
  <c r="B283" i="1"/>
  <c r="C283" i="1"/>
  <c r="D283" i="1"/>
  <c r="E283" i="1"/>
  <c r="F283" i="1"/>
  <c r="B284" i="1"/>
  <c r="C284" i="1"/>
  <c r="D284" i="1"/>
  <c r="E284" i="1"/>
  <c r="F284" i="1"/>
  <c r="B285" i="1"/>
  <c r="C285" i="1"/>
  <c r="D285" i="1"/>
  <c r="E285" i="1"/>
  <c r="F285" i="1"/>
  <c r="B286" i="1"/>
  <c r="C286" i="1"/>
  <c r="D286" i="1"/>
  <c r="E286" i="1"/>
  <c r="F286" i="1"/>
  <c r="B584" i="1"/>
  <c r="C584" i="1"/>
  <c r="D584" i="1"/>
  <c r="E584" i="1"/>
  <c r="F584" i="1"/>
  <c r="A584" i="1"/>
  <c r="B287" i="1"/>
  <c r="C287" i="1"/>
  <c r="D287" i="1"/>
  <c r="E287" i="1"/>
  <c r="F287" i="1"/>
  <c r="B585" i="1"/>
  <c r="C585" i="1"/>
  <c r="D585" i="1"/>
  <c r="E585" i="1"/>
  <c r="F585" i="1"/>
  <c r="A585" i="1"/>
  <c r="B586" i="1"/>
  <c r="C586" i="1"/>
  <c r="D586" i="1"/>
  <c r="E586" i="1"/>
  <c r="F586" i="1"/>
  <c r="A586" i="1"/>
  <c r="B587" i="1"/>
  <c r="C587" i="1"/>
  <c r="D587" i="1"/>
  <c r="E587" i="1"/>
  <c r="F587" i="1"/>
  <c r="A587" i="1"/>
  <c r="B588" i="1"/>
  <c r="C588" i="1"/>
  <c r="D588" i="1"/>
  <c r="E588" i="1"/>
  <c r="F588" i="1"/>
  <c r="A588" i="1"/>
  <c r="B589" i="1"/>
  <c r="C589" i="1"/>
  <c r="D589" i="1"/>
  <c r="E589" i="1"/>
  <c r="F589" i="1"/>
  <c r="A589" i="1"/>
  <c r="B590" i="1"/>
  <c r="C590" i="1"/>
  <c r="D590" i="1"/>
  <c r="E590" i="1"/>
  <c r="F590" i="1"/>
  <c r="A590" i="1"/>
  <c r="B591" i="1"/>
  <c r="C591" i="1"/>
  <c r="D591" i="1"/>
  <c r="E591" i="1"/>
  <c r="F591" i="1"/>
  <c r="A591" i="1"/>
  <c r="B288" i="1"/>
  <c r="C288" i="1"/>
  <c r="D288" i="1"/>
  <c r="E288" i="1"/>
  <c r="F288" i="1"/>
  <c r="B289" i="1"/>
  <c r="C289" i="1"/>
  <c r="D289" i="1"/>
  <c r="E289" i="1"/>
  <c r="F289" i="1"/>
  <c r="B290" i="1"/>
  <c r="C290" i="1"/>
  <c r="D290" i="1"/>
  <c r="E290" i="1"/>
  <c r="F290" i="1"/>
  <c r="B291" i="1"/>
  <c r="C291" i="1"/>
  <c r="D291" i="1"/>
  <c r="E291" i="1"/>
  <c r="F291" i="1"/>
  <c r="B292" i="1"/>
  <c r="C292" i="1"/>
  <c r="D292" i="1"/>
  <c r="E292" i="1"/>
  <c r="F292" i="1"/>
  <c r="B293" i="1"/>
  <c r="C293" i="1"/>
  <c r="D293" i="1"/>
  <c r="E293" i="1"/>
  <c r="F293" i="1"/>
  <c r="B294" i="1"/>
  <c r="C294" i="1"/>
  <c r="D294" i="1"/>
  <c r="E294" i="1"/>
  <c r="F294" i="1"/>
  <c r="B295" i="1"/>
  <c r="C295" i="1"/>
  <c r="D295" i="1"/>
  <c r="E295" i="1"/>
  <c r="F295" i="1"/>
  <c r="B296" i="1"/>
  <c r="C296" i="1"/>
  <c r="D296" i="1"/>
  <c r="E296" i="1"/>
  <c r="F296" i="1"/>
  <c r="B297" i="1"/>
  <c r="C297" i="1"/>
  <c r="D297" i="1"/>
  <c r="E297" i="1"/>
  <c r="F297" i="1"/>
  <c r="B298" i="1"/>
  <c r="C298" i="1"/>
  <c r="D298" i="1"/>
  <c r="E298" i="1"/>
  <c r="F298" i="1"/>
  <c r="B299" i="1"/>
  <c r="C299" i="1"/>
  <c r="D299" i="1"/>
  <c r="E299" i="1"/>
  <c r="F299" i="1"/>
  <c r="B300" i="1"/>
  <c r="C300" i="1"/>
  <c r="D300" i="1"/>
  <c r="E300" i="1"/>
  <c r="F300" i="1"/>
  <c r="B301" i="1"/>
  <c r="C301" i="1"/>
  <c r="D301" i="1"/>
  <c r="E301" i="1"/>
  <c r="F301" i="1"/>
  <c r="B302" i="1"/>
  <c r="C302" i="1"/>
  <c r="D302" i="1"/>
  <c r="E302" i="1"/>
  <c r="F302" i="1"/>
  <c r="B303" i="1"/>
  <c r="C303" i="1"/>
  <c r="D303" i="1"/>
  <c r="E303" i="1"/>
  <c r="F303" i="1"/>
  <c r="B304" i="1"/>
  <c r="C304" i="1"/>
  <c r="D304" i="1"/>
  <c r="E304" i="1"/>
  <c r="F304" i="1"/>
  <c r="B305" i="1"/>
  <c r="C305" i="1"/>
  <c r="D305" i="1"/>
  <c r="E305" i="1"/>
  <c r="F305" i="1"/>
  <c r="B306" i="1"/>
  <c r="C306" i="1"/>
  <c r="D306" i="1"/>
  <c r="E306" i="1"/>
  <c r="F306" i="1"/>
  <c r="B307" i="1"/>
  <c r="C307" i="1"/>
  <c r="D307" i="1"/>
  <c r="E307" i="1"/>
  <c r="F307" i="1"/>
  <c r="B308" i="1"/>
  <c r="C308" i="1"/>
  <c r="D308" i="1"/>
  <c r="E308" i="1"/>
  <c r="F308" i="1"/>
  <c r="B309" i="1"/>
  <c r="C309" i="1"/>
  <c r="D309" i="1"/>
  <c r="E309" i="1"/>
  <c r="F309" i="1"/>
  <c r="B310" i="1"/>
  <c r="C310" i="1"/>
  <c r="D310" i="1"/>
  <c r="E310" i="1"/>
  <c r="F310" i="1"/>
  <c r="B311" i="1"/>
  <c r="C311" i="1"/>
  <c r="D311" i="1"/>
  <c r="E311" i="1"/>
  <c r="F311" i="1"/>
  <c r="B312" i="1"/>
  <c r="C312" i="1"/>
  <c r="D312" i="1"/>
  <c r="E312" i="1"/>
  <c r="F312" i="1"/>
  <c r="B313" i="1"/>
  <c r="C313" i="1"/>
  <c r="D313" i="1"/>
  <c r="E313" i="1"/>
  <c r="F313" i="1"/>
  <c r="B314" i="1"/>
  <c r="C314" i="1"/>
  <c r="D314" i="1"/>
  <c r="E314" i="1"/>
  <c r="F314" i="1"/>
  <c r="B315" i="1"/>
  <c r="C315" i="1"/>
  <c r="D315" i="1"/>
  <c r="E315" i="1"/>
  <c r="F315" i="1"/>
  <c r="B316" i="1"/>
  <c r="C316" i="1"/>
  <c r="D316" i="1"/>
  <c r="E316" i="1"/>
  <c r="F316" i="1"/>
  <c r="B592" i="1"/>
  <c r="C592" i="1"/>
  <c r="D592" i="1"/>
  <c r="E592" i="1"/>
  <c r="F592" i="1"/>
  <c r="A592" i="1"/>
  <c r="B403" i="1"/>
  <c r="C403" i="1"/>
  <c r="D403" i="1"/>
  <c r="E403" i="1"/>
  <c r="F403" i="1"/>
  <c r="A403" i="1"/>
  <c r="B593" i="1"/>
  <c r="C593" i="1"/>
  <c r="D593" i="1"/>
  <c r="E593" i="1"/>
  <c r="F593" i="1"/>
  <c r="A593" i="1"/>
  <c r="B317" i="1"/>
  <c r="C317" i="1"/>
  <c r="D317" i="1"/>
  <c r="E317" i="1"/>
  <c r="F317" i="1"/>
  <c r="B594" i="1"/>
  <c r="C594" i="1"/>
  <c r="D594" i="1"/>
  <c r="E594" i="1"/>
  <c r="F594" i="1"/>
  <c r="A594" i="1"/>
  <c r="B595" i="1"/>
  <c r="C595" i="1"/>
  <c r="D595" i="1"/>
  <c r="E595" i="1"/>
  <c r="F595" i="1"/>
  <c r="A595" i="1"/>
  <c r="B596" i="1"/>
  <c r="C596" i="1"/>
  <c r="D596" i="1"/>
  <c r="E596" i="1"/>
  <c r="F596" i="1"/>
  <c r="A596" i="1"/>
  <c r="B318" i="1"/>
  <c r="C318" i="1"/>
  <c r="D318" i="1"/>
  <c r="E318" i="1"/>
  <c r="F318" i="1"/>
  <c r="B319" i="1"/>
  <c r="C319" i="1"/>
  <c r="D319" i="1"/>
  <c r="E319" i="1"/>
  <c r="F319" i="1"/>
  <c r="B320" i="1"/>
  <c r="C320" i="1"/>
  <c r="D320" i="1"/>
  <c r="E320" i="1"/>
  <c r="F320" i="1"/>
  <c r="B597" i="1"/>
  <c r="C597" i="1"/>
  <c r="D597" i="1"/>
  <c r="E597" i="1"/>
  <c r="F597" i="1"/>
  <c r="A597" i="1"/>
  <c r="B598" i="1"/>
  <c r="C598" i="1"/>
  <c r="D598" i="1"/>
  <c r="E598" i="1"/>
  <c r="F598" i="1"/>
  <c r="A598" i="1"/>
  <c r="B599" i="1"/>
  <c r="C599" i="1"/>
  <c r="D599" i="1"/>
  <c r="E599" i="1"/>
  <c r="F599" i="1"/>
  <c r="A599" i="1"/>
  <c r="B321" i="1"/>
  <c r="C321" i="1"/>
  <c r="D321" i="1"/>
  <c r="E321" i="1"/>
  <c r="F321" i="1"/>
  <c r="B404" i="1"/>
  <c r="C404" i="1"/>
  <c r="D404" i="1"/>
  <c r="E404" i="1"/>
  <c r="F404" i="1"/>
  <c r="A404" i="1"/>
  <c r="B322" i="1"/>
  <c r="C322" i="1"/>
  <c r="D322" i="1"/>
  <c r="E322" i="1"/>
  <c r="F322" i="1"/>
  <c r="B323" i="1"/>
  <c r="C323" i="1"/>
  <c r="D323" i="1"/>
  <c r="E323" i="1"/>
  <c r="F323" i="1"/>
  <c r="B324" i="1"/>
  <c r="C324" i="1"/>
  <c r="D324" i="1"/>
  <c r="E324" i="1"/>
  <c r="F324" i="1"/>
  <c r="B600" i="1"/>
  <c r="C600" i="1"/>
  <c r="D600" i="1"/>
  <c r="E600" i="1"/>
  <c r="F600" i="1"/>
  <c r="A600" i="1"/>
  <c r="B601" i="1"/>
  <c r="C601" i="1"/>
  <c r="D601" i="1"/>
  <c r="E601" i="1"/>
  <c r="F601" i="1"/>
  <c r="A601" i="1"/>
  <c r="B602" i="1"/>
  <c r="C602" i="1"/>
  <c r="D602" i="1"/>
  <c r="E602" i="1"/>
  <c r="F602" i="1"/>
  <c r="A602" i="1"/>
  <c r="B603" i="1"/>
  <c r="C603" i="1"/>
  <c r="D603" i="1"/>
  <c r="E603" i="1"/>
  <c r="F603" i="1"/>
  <c r="A603" i="1"/>
  <c r="B604" i="1"/>
  <c r="C604" i="1"/>
  <c r="D604" i="1"/>
  <c r="E604" i="1"/>
  <c r="F604" i="1"/>
  <c r="A604" i="1"/>
  <c r="B325" i="1"/>
  <c r="C325" i="1"/>
  <c r="D325" i="1"/>
  <c r="E325" i="1"/>
  <c r="F325" i="1"/>
  <c r="B605" i="1"/>
  <c r="C605" i="1"/>
  <c r="D605" i="1"/>
  <c r="E605" i="1"/>
  <c r="F605" i="1"/>
  <c r="A605" i="1"/>
  <c r="B606" i="1"/>
  <c r="C606" i="1"/>
  <c r="D606" i="1"/>
  <c r="E606" i="1"/>
  <c r="F606" i="1"/>
  <c r="A606" i="1"/>
  <c r="B607" i="1"/>
  <c r="C607" i="1"/>
  <c r="D607" i="1"/>
  <c r="E607" i="1"/>
  <c r="F607" i="1"/>
  <c r="A607" i="1"/>
  <c r="B326" i="1"/>
  <c r="C326" i="1"/>
  <c r="D326" i="1"/>
  <c r="E326" i="1"/>
  <c r="F326" i="1"/>
  <c r="B608" i="1"/>
  <c r="C608" i="1"/>
  <c r="D608" i="1"/>
  <c r="E608" i="1"/>
  <c r="F608" i="1"/>
  <c r="A608" i="1"/>
  <c r="B609" i="1"/>
  <c r="C609" i="1"/>
  <c r="D609" i="1"/>
  <c r="E609" i="1"/>
  <c r="F609" i="1"/>
  <c r="A609" i="1"/>
  <c r="B610" i="1"/>
  <c r="C610" i="1"/>
  <c r="D610" i="1"/>
  <c r="E610" i="1"/>
  <c r="F610" i="1"/>
  <c r="A610" i="1"/>
  <c r="B611" i="1"/>
  <c r="C611" i="1"/>
  <c r="D611" i="1"/>
  <c r="E611" i="1"/>
  <c r="F611" i="1"/>
  <c r="A611" i="1"/>
  <c r="B612" i="1"/>
  <c r="C612" i="1"/>
  <c r="D612" i="1"/>
  <c r="E612" i="1"/>
  <c r="F612" i="1"/>
  <c r="A612" i="1"/>
  <c r="B613" i="1"/>
  <c r="C613" i="1"/>
  <c r="D613" i="1"/>
  <c r="E613" i="1"/>
  <c r="F613" i="1"/>
  <c r="A613" i="1"/>
  <c r="B614" i="1"/>
  <c r="C614" i="1"/>
  <c r="D614" i="1"/>
  <c r="E614" i="1"/>
  <c r="F614" i="1"/>
  <c r="A614" i="1"/>
  <c r="B327" i="1"/>
  <c r="C327" i="1"/>
  <c r="D327" i="1"/>
  <c r="E327" i="1"/>
  <c r="F327" i="1"/>
  <c r="B615" i="1"/>
  <c r="C615" i="1"/>
  <c r="D615" i="1"/>
  <c r="E615" i="1"/>
  <c r="F615" i="1"/>
  <c r="A615" i="1"/>
  <c r="B616" i="1"/>
  <c r="C616" i="1"/>
  <c r="D616" i="1"/>
  <c r="E616" i="1"/>
  <c r="F616" i="1"/>
  <c r="A616" i="1"/>
  <c r="B328" i="1"/>
  <c r="C328" i="1"/>
  <c r="D328" i="1"/>
  <c r="E328" i="1"/>
  <c r="F328" i="1"/>
  <c r="B617" i="1"/>
  <c r="C617" i="1"/>
  <c r="D617" i="1"/>
  <c r="E617" i="1"/>
  <c r="F617" i="1"/>
  <c r="A617" i="1"/>
  <c r="B618" i="1"/>
  <c r="C618" i="1"/>
  <c r="D618" i="1"/>
  <c r="E618" i="1"/>
  <c r="F618" i="1"/>
  <c r="A618" i="1"/>
  <c r="B405" i="1"/>
  <c r="C405" i="1"/>
  <c r="D405" i="1"/>
  <c r="E405" i="1"/>
  <c r="F405" i="1"/>
  <c r="A405" i="1"/>
  <c r="B619" i="1"/>
  <c r="C619" i="1"/>
  <c r="D619" i="1"/>
  <c r="E619" i="1"/>
  <c r="F619" i="1"/>
  <c r="A619" i="1"/>
  <c r="B620" i="1"/>
  <c r="C620" i="1"/>
  <c r="D620" i="1"/>
  <c r="E620" i="1"/>
  <c r="F620" i="1"/>
  <c r="A620" i="1"/>
  <c r="B621" i="1"/>
  <c r="C621" i="1"/>
  <c r="D621" i="1"/>
  <c r="E621" i="1"/>
  <c r="F621" i="1"/>
  <c r="A621" i="1"/>
  <c r="B329" i="1"/>
  <c r="C329" i="1"/>
  <c r="D329" i="1"/>
  <c r="E329" i="1"/>
  <c r="F329" i="1"/>
  <c r="B622" i="1"/>
  <c r="C622" i="1"/>
  <c r="D622" i="1"/>
  <c r="E622" i="1"/>
  <c r="F622" i="1"/>
  <c r="A622" i="1"/>
  <c r="B623" i="1"/>
  <c r="C623" i="1"/>
  <c r="D623" i="1"/>
  <c r="E623" i="1"/>
  <c r="F623" i="1"/>
  <c r="A623" i="1"/>
  <c r="B330" i="1"/>
  <c r="C330" i="1"/>
  <c r="D330" i="1"/>
  <c r="E330" i="1"/>
  <c r="F330" i="1"/>
  <c r="B624" i="1"/>
  <c r="C624" i="1"/>
  <c r="D624" i="1"/>
  <c r="E624" i="1"/>
  <c r="F624" i="1"/>
  <c r="A624" i="1"/>
  <c r="B625" i="1"/>
  <c r="C625" i="1"/>
  <c r="D625" i="1"/>
  <c r="E625" i="1"/>
  <c r="F625" i="1"/>
  <c r="A625" i="1"/>
  <c r="B406" i="1"/>
  <c r="C406" i="1"/>
  <c r="D406" i="1"/>
  <c r="E406" i="1"/>
  <c r="F406" i="1"/>
  <c r="A406" i="1"/>
  <c r="B331" i="1"/>
  <c r="C331" i="1"/>
  <c r="D331" i="1"/>
  <c r="E331" i="1"/>
  <c r="F331" i="1"/>
  <c r="B626" i="1"/>
  <c r="C626" i="1"/>
  <c r="D626" i="1"/>
  <c r="E626" i="1"/>
  <c r="F626" i="1"/>
  <c r="A626" i="1"/>
  <c r="B627" i="1"/>
  <c r="C627" i="1"/>
  <c r="D627" i="1"/>
  <c r="E627" i="1"/>
  <c r="F627" i="1"/>
  <c r="A627" i="1"/>
  <c r="B407" i="1"/>
  <c r="C407" i="1"/>
  <c r="D407" i="1"/>
  <c r="E407" i="1"/>
  <c r="F407" i="1"/>
  <c r="A407" i="1"/>
  <c r="B408" i="1"/>
  <c r="C408" i="1"/>
  <c r="D408" i="1"/>
  <c r="E408" i="1"/>
  <c r="F408" i="1"/>
  <c r="A408" i="1"/>
  <c r="B332" i="1"/>
  <c r="C332" i="1"/>
  <c r="D332" i="1"/>
  <c r="E332" i="1"/>
  <c r="F332" i="1"/>
  <c r="B333" i="1"/>
  <c r="C333" i="1"/>
  <c r="D333" i="1"/>
  <c r="E333" i="1"/>
  <c r="F333" i="1"/>
  <c r="B334" i="1"/>
  <c r="C334" i="1"/>
  <c r="D334" i="1"/>
  <c r="E334" i="1"/>
  <c r="F334" i="1"/>
  <c r="B335" i="1"/>
  <c r="C335" i="1"/>
  <c r="D335" i="1"/>
  <c r="E335" i="1"/>
  <c r="F335" i="1"/>
  <c r="B336" i="1"/>
  <c r="C336" i="1"/>
  <c r="D336" i="1"/>
  <c r="E336" i="1"/>
  <c r="F336" i="1"/>
  <c r="B337" i="1"/>
  <c r="C337" i="1"/>
  <c r="D337" i="1"/>
  <c r="E337" i="1"/>
  <c r="F337" i="1"/>
  <c r="B338" i="1"/>
  <c r="C338" i="1"/>
  <c r="D338" i="1"/>
  <c r="E338" i="1"/>
  <c r="F338" i="1"/>
  <c r="B339" i="1"/>
  <c r="C339" i="1"/>
  <c r="D339" i="1"/>
  <c r="E339" i="1"/>
  <c r="F339" i="1"/>
  <c r="B340" i="1"/>
  <c r="C340" i="1"/>
  <c r="D340" i="1"/>
  <c r="E340" i="1"/>
  <c r="F340" i="1"/>
  <c r="B341" i="1"/>
  <c r="C341" i="1"/>
  <c r="D341" i="1"/>
  <c r="E341" i="1"/>
  <c r="F341" i="1"/>
  <c r="B342" i="1"/>
  <c r="C342" i="1"/>
  <c r="D342" i="1"/>
  <c r="E342" i="1"/>
  <c r="F342" i="1"/>
  <c r="B343" i="1"/>
  <c r="C343" i="1"/>
  <c r="D343" i="1"/>
  <c r="E343" i="1"/>
  <c r="F343" i="1"/>
  <c r="B344" i="1"/>
  <c r="C344" i="1"/>
  <c r="D344" i="1"/>
  <c r="E344" i="1"/>
  <c r="F344" i="1"/>
  <c r="B345" i="1"/>
  <c r="C345" i="1"/>
  <c r="D345" i="1"/>
  <c r="E345" i="1"/>
  <c r="F345" i="1"/>
  <c r="B346" i="1"/>
  <c r="C346" i="1"/>
  <c r="D346" i="1"/>
  <c r="E346" i="1"/>
  <c r="F346" i="1"/>
  <c r="B347" i="1"/>
  <c r="C347" i="1"/>
  <c r="D347" i="1"/>
  <c r="E347" i="1"/>
  <c r="F347" i="1"/>
  <c r="B348" i="1"/>
  <c r="C348" i="1"/>
  <c r="D348" i="1"/>
  <c r="E348" i="1"/>
  <c r="F348" i="1"/>
  <c r="B349" i="1"/>
  <c r="C349" i="1"/>
  <c r="D349" i="1"/>
  <c r="E349" i="1"/>
  <c r="F349" i="1"/>
  <c r="B350" i="1"/>
  <c r="C350" i="1"/>
  <c r="D350" i="1"/>
  <c r="E350" i="1"/>
  <c r="F350" i="1"/>
  <c r="B351" i="1"/>
  <c r="C351" i="1"/>
  <c r="D351" i="1"/>
  <c r="E351" i="1"/>
  <c r="F351" i="1"/>
  <c r="B352" i="1"/>
  <c r="C352" i="1"/>
  <c r="D352" i="1"/>
  <c r="E352" i="1"/>
  <c r="F352" i="1"/>
  <c r="B353" i="1"/>
  <c r="C353" i="1"/>
  <c r="D353" i="1"/>
  <c r="E353" i="1"/>
  <c r="F353" i="1"/>
  <c r="B628" i="1"/>
  <c r="C628" i="1"/>
  <c r="D628" i="1"/>
  <c r="E628" i="1"/>
  <c r="F628" i="1"/>
  <c r="A628" i="1"/>
  <c r="B629" i="1"/>
  <c r="C629" i="1"/>
  <c r="D629" i="1"/>
  <c r="E629" i="1"/>
  <c r="F629" i="1"/>
  <c r="A629" i="1"/>
  <c r="B409" i="1"/>
  <c r="C409" i="1"/>
  <c r="D409" i="1"/>
  <c r="E409" i="1"/>
  <c r="F409" i="1"/>
  <c r="A409" i="1"/>
</calcChain>
</file>

<file path=xl/sharedStrings.xml><?xml version="1.0" encoding="utf-8"?>
<sst xmlns="http://schemas.openxmlformats.org/spreadsheetml/2006/main" count="1" uniqueCount="1">
  <si>
    <t>비고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</si>
</sst>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0"/>
  <sheetViews>
    <sheetView tabSelected="1" workbookViewId="0">
      <selection activeCell="G10" sqref="G10"/>
    </sheetView>
  </sheetViews>
  <sheetFormatPr defaultRowHeight="16.5" x14ac:dyDescent="0.3"/>
  <cols>
    <col min="1" max="1" width="13" bestFit="1" customWidth="1"/>
    <col min="2" max="2" width="22.375" customWidth="1"/>
    <col min="3" max="3" width="48.375" customWidth="1"/>
    <col min="4" max="4" width="38.25" customWidth="1"/>
    <col min="5" max="5" width="35.125" customWidth="1"/>
    <col min="6" max="6" width="31" customWidth="1"/>
  </cols>
  <sheetData>
    <row r="1" spans="1:7" x14ac:dyDescent="0.3">
      <c r="A1" s="2" t="str">
        <f>"배가실"</f>
        <v>배가실</v>
      </c>
      <c r="B1" s="2" t="str">
        <f>"청구기호"</f>
        <v>청구기호</v>
      </c>
      <c r="C1" s="2" t="str">
        <f>"서명"</f>
        <v>서명</v>
      </c>
      <c r="D1" s="2" t="str">
        <f>"저작자"</f>
        <v>저작자</v>
      </c>
      <c r="E1" s="2" t="str">
        <f>"발행자"</f>
        <v>발행자</v>
      </c>
      <c r="F1" s="2" t="str">
        <f>"형태사항"</f>
        <v>형태사항</v>
      </c>
      <c r="G1" s="2" t="s">
        <v>0</v>
      </c>
    </row>
    <row r="2" spans="1:7" x14ac:dyDescent="0.3">
      <c r="A2" s="1" t="str">
        <f>"어린이도서관"</f>
        <v>어린이도서관</v>
      </c>
      <c r="B2" s="1" t="str">
        <f>"J813.8-임735내"</f>
        <v>J813.8-임735내</v>
      </c>
      <c r="C2" s="1" t="str">
        <f>"내 편이 필요해!"</f>
        <v>내 편이 필요해!</v>
      </c>
      <c r="D2" s="1" t="str">
        <f>"임정자 글;이선민 그림"</f>
        <v>임정자 글;이선민 그림</v>
      </c>
      <c r="E2" s="1" t="str">
        <f>"Mirae N 아이세움 :미래엔"</f>
        <v>Mirae N 아이세움 :미래엔</v>
      </c>
      <c r="F2" s="1" t="str">
        <f>"99 p.:천연색삽화;22 cm"</f>
        <v>99 p.:천연색삽화;22 cm</v>
      </c>
      <c r="G2" s="1"/>
    </row>
    <row r="3" spans="1:7" x14ac:dyDescent="0.3">
      <c r="A3" s="1" t="str">
        <f>"어린이도서관"</f>
        <v>어린이도서관</v>
      </c>
      <c r="B3" s="1" t="str">
        <f>"J811.8-임73ㄷ"</f>
        <v>J811.8-임73ㄷ</v>
      </c>
      <c r="C3" s="1" t="str">
        <f>"다시는 마당을 밟지 않으리  : 생육신 원호 그림책"</f>
        <v>다시는 마당을 밟지 않으리  : 생육신 원호 그림책</v>
      </c>
      <c r="D3" s="1" t="str">
        <f>"임정자 글;홍선주 그림"</f>
        <v>임정자 글;홍선주 그림</v>
      </c>
      <c r="E3" s="1" t="str">
        <f>"그림책도시"</f>
        <v>그림책도시</v>
      </c>
      <c r="F3" s="1" t="str">
        <f>"[33] p.:천연색삽화;29 cm"</f>
        <v>[33] p.:천연색삽화;29 cm</v>
      </c>
      <c r="G3" s="1"/>
    </row>
    <row r="4" spans="1:7" x14ac:dyDescent="0.3">
      <c r="A4" s="1" t="str">
        <f>"어린이도서관"</f>
        <v>어린이도서관</v>
      </c>
      <c r="B4" s="1" t="str">
        <f>"J388.311-임73ㄴ"</f>
        <v>J388.311-임73ㄴ</v>
      </c>
      <c r="C4" s="1" t="str">
        <f>"농사와 사랑의 여신 자청비"</f>
        <v>농사와 사랑의 여신 자청비</v>
      </c>
      <c r="D4" s="1" t="str">
        <f>"임정자 지음;최현묵 그림"</f>
        <v>임정자 지음;최현묵 그림</v>
      </c>
      <c r="E4" s="1" t="str">
        <f>"한겨레아이들"</f>
        <v>한겨레아이들</v>
      </c>
      <c r="F4" s="1" t="str">
        <f>"106 p.:삽화;25 cm"</f>
        <v>106 p.:삽화;25 cm</v>
      </c>
      <c r="G4" s="1"/>
    </row>
    <row r="5" spans="1:7" x14ac:dyDescent="0.3">
      <c r="A5" s="1" t="str">
        <f>"어린이도서관"</f>
        <v>어린이도서관</v>
      </c>
      <c r="B5" s="1" t="str">
        <f>"J813.8-김655벼"</f>
        <v>J813.8-김655벼</v>
      </c>
      <c r="C5" s="1" t="str">
        <f>"벼룩시장에서 생긴 일  : 김옥애 장편동화"</f>
        <v>벼룩시장에서 생긴 일  : 김옥애 장편동화</v>
      </c>
      <c r="D5" s="1" t="str">
        <f>"김옥애 지음;고은지 그림"</f>
        <v>김옥애 지음;고은지 그림</v>
      </c>
      <c r="E5" s="1" t="str">
        <f>"청개구리"</f>
        <v>청개구리</v>
      </c>
      <c r="F5" s="1" t="str">
        <f>"91 p.:천연색삽화;23 cm"</f>
        <v>91 p.:천연색삽화;23 cm</v>
      </c>
      <c r="G5" s="1"/>
    </row>
    <row r="6" spans="1:7" x14ac:dyDescent="0.3">
      <c r="A6" s="1" t="str">
        <f>"어린이도서관"</f>
        <v>어린이도서관</v>
      </c>
      <c r="B6" s="1" t="str">
        <f>"J813.8-김655아"</f>
        <v>J813.8-김655아</v>
      </c>
      <c r="C6" s="1" t="str">
        <f>"아빠, 냉이꽃 예쁘지요"</f>
        <v>아빠, 냉이꽃 예쁘지요</v>
      </c>
      <c r="D6" s="1" t="str">
        <f>"김옥애 글;윤지경 그림"</f>
        <v>김옥애 글;윤지경 그림</v>
      </c>
      <c r="E6" s="1" t="str">
        <f>"좋은꿈"</f>
        <v>좋은꿈</v>
      </c>
      <c r="F6" s="1" t="str">
        <f>"115 p.:천연색삽화;21 cm"</f>
        <v>115 p.:천연색삽화;21 cm</v>
      </c>
      <c r="G6" s="1"/>
    </row>
    <row r="7" spans="1:7" x14ac:dyDescent="0.3">
      <c r="A7" s="1" t="str">
        <f>"어린이도서관"</f>
        <v>어린이도서관</v>
      </c>
      <c r="B7" s="1" t="str">
        <f>"J811.8-김651ㅅ"</f>
        <v>J811.8-김651ㅅ</v>
      </c>
      <c r="C7" s="1" t="str">
        <f>"숨어 있는 것들  : 김옥애 동시집"</f>
        <v>숨어 있는 것들  : 김옥애 동시집</v>
      </c>
      <c r="D7" s="1" t="str">
        <f>"김옥애 지음;이채원 일러스트"</f>
        <v>김옥애 지음;이채원 일러스트</v>
      </c>
      <c r="E7" s="1" t="str">
        <f>"청개구리"</f>
        <v>청개구리</v>
      </c>
      <c r="F7" s="1" t="str">
        <f>"106 p.:천연색삽화;21 cm"</f>
        <v>106 p.:천연색삽화;21 cm</v>
      </c>
      <c r="G7" s="1"/>
    </row>
    <row r="8" spans="1:7" x14ac:dyDescent="0.3">
      <c r="A8" s="1" t="str">
        <f>"어린이도서관"</f>
        <v>어린이도서관</v>
      </c>
      <c r="B8" s="1" t="str">
        <f>"J813.8-김655경"</f>
        <v>J813.8-김655경</v>
      </c>
      <c r="C8" s="1" t="str">
        <f>"경무대로 간 해수  = Haesu went to Gyeong Mu Dea  : 김옥애 장편동화"</f>
        <v>경무대로 간 해수  = Haesu went to Gyeong Mu Dea  : 김옥애 장편동화</v>
      </c>
      <c r="D8" s="1" t="str">
        <f>"김옥애 지음;강화경 일러스트"</f>
        <v>김옥애 지음;강화경 일러스트</v>
      </c>
      <c r="E8" s="1" t="str">
        <f>"청개구리"</f>
        <v>청개구리</v>
      </c>
      <c r="F8" s="1" t="str">
        <f>"159 p.:천연색삽화;23 cm"</f>
        <v>159 p.:천연색삽화;23 cm</v>
      </c>
      <c r="G8" s="1"/>
    </row>
    <row r="9" spans="1:7" x14ac:dyDescent="0.3">
      <c r="A9" s="1" t="str">
        <f>"어린이도서관"</f>
        <v>어린이도서관</v>
      </c>
      <c r="B9" s="1" t="str">
        <f>"J388.311-김92ㄷ"</f>
        <v>J388.311-김92ㄷ</v>
      </c>
      <c r="C9" s="1" t="str">
        <f>"도둑은 바로 너야!  : 아니 땐 굴뚝에 연기 날까?"</f>
        <v>도둑은 바로 너야!  : 아니 땐 굴뚝에 연기 날까?</v>
      </c>
      <c r="D9" s="1" t="str">
        <f>"김해등 지음;이가혜 그림"</f>
        <v>김해등 지음;이가혜 그림</v>
      </c>
      <c r="E9" s="1" t="str">
        <f>"키큰도토리"</f>
        <v>키큰도토리</v>
      </c>
      <c r="F9" s="1" t="str">
        <f>"[32] p.:천연색삽화;28 cm"</f>
        <v>[32] p.:천연색삽화;28 cm</v>
      </c>
      <c r="G9" s="1"/>
    </row>
    <row r="10" spans="1:7" x14ac:dyDescent="0.3">
      <c r="A10" s="1" t="str">
        <f>"어린이도서관"</f>
        <v>어린이도서관</v>
      </c>
      <c r="B10" s="1" t="str">
        <f>"J911-김92ㄱ"</f>
        <v>J911-김92ㄱ</v>
      </c>
      <c r="C10" s="1" t="str">
        <f>"(천년의 학을 품은) 고려청자 : 고려청자가 들려주는 고려 시대 문화 이야기"</f>
        <v>(천년의 학을 품은) 고려청자 : 고려청자가 들려주는 고려 시대 문화 이야기</v>
      </c>
      <c r="D10" s="1" t="str">
        <f>"김해등 글;정인성,천복주 그림"</f>
        <v>김해등 글;정인성,천복주 그림</v>
      </c>
      <c r="E10" s="1" t="str">
        <f>"개암나무"</f>
        <v>개암나무</v>
      </c>
      <c r="F10" s="1" t="str">
        <f>"76 p.:천연색삽화;26 cm"</f>
        <v>76 p.:천연색삽화;26 cm</v>
      </c>
      <c r="G10" s="1"/>
    </row>
    <row r="11" spans="1:7" x14ac:dyDescent="0.3">
      <c r="A11" s="1" t="str">
        <f>"어린이도서관"</f>
        <v>어린이도서관</v>
      </c>
      <c r="B11" s="1" t="str">
        <f>"J998.4-이97김"</f>
        <v>J998.4-이97김</v>
      </c>
      <c r="C11" s="1" t="str">
        <f>"위대한 과학자의 방  : 천재 물리학자 이휘소를 만나다"</f>
        <v>위대한 과학자의 방  : 천재 물리학자 이휘소를 만나다</v>
      </c>
      <c r="D11" s="1" t="str">
        <f>"김해등 글;윤유리 그림"</f>
        <v>김해등 글;윤유리 그림</v>
      </c>
      <c r="E11" s="1" t="str">
        <f>"뜨인돌어린이 :뜨인돌출판"</f>
        <v>뜨인돌어린이 :뜨인돌출판</v>
      </c>
      <c r="F11" s="1" t="str">
        <f>"117 p.:천연색삽화;24 cm"</f>
        <v>117 p.:천연색삽화;24 cm</v>
      </c>
      <c r="G11" s="1"/>
    </row>
    <row r="12" spans="1:7" x14ac:dyDescent="0.3">
      <c r="A12" s="1" t="str">
        <f>"어린이도서관"</f>
        <v>어린이도서관</v>
      </c>
      <c r="B12" s="1" t="str">
        <f>"J813.8-김925ㅅ"</f>
        <v>J813.8-김925ㅅ</v>
      </c>
      <c r="C12" s="1" t="str">
        <f>"소금꽃이 피었습니다"</f>
        <v>소금꽃이 피었습니다</v>
      </c>
      <c r="D12" s="1" t="str">
        <f>"김해등 글;이준선 그림"</f>
        <v>김해등 글;이준선 그림</v>
      </c>
      <c r="E12" s="1" t="str">
        <f>"스푼북"</f>
        <v>스푼북</v>
      </c>
      <c r="F12" s="1" t="str">
        <f>"175 p.:천연색삽화;22 cm"</f>
        <v>175 p.:천연색삽화;22 cm</v>
      </c>
      <c r="G12" s="1"/>
    </row>
    <row r="13" spans="1:7" x14ac:dyDescent="0.3">
      <c r="A13" s="1" t="str">
        <f>"어린이도서관"</f>
        <v>어린이도서관</v>
      </c>
      <c r="B13" s="1" t="str">
        <f>"J909-한211ㅇ-2"</f>
        <v>J909-한211ㅇ-2</v>
      </c>
      <c r="C13" s="1" t="str">
        <f>"(읽으면서 바로 써먹는)어린이 세계사 퀴즈. 2"</f>
        <v>(읽으면서 바로 써먹는)어린이 세계사 퀴즈. 2</v>
      </c>
      <c r="D13" s="1" t="str">
        <f>"한날 지음"</f>
        <v>한날 지음</v>
      </c>
      <c r="E13" s="1" t="str">
        <f>"파란정원"</f>
        <v>파란정원</v>
      </c>
      <c r="F13" s="1" t="str">
        <f>"216 p.:천연색삽화;19 cm"</f>
        <v>216 p.:천연색삽화;19 cm</v>
      </c>
      <c r="G13" s="1"/>
    </row>
    <row r="14" spans="1:7" x14ac:dyDescent="0.3">
      <c r="A14" s="1" t="str">
        <f>"어린이도서관"</f>
        <v>어린이도서관</v>
      </c>
      <c r="B14" s="1" t="str">
        <f>"J980-최72ㅂ"</f>
        <v>J980-최72ㅂ</v>
      </c>
      <c r="C14" s="1" t="str">
        <f>"바다거북은 어디로 가야 할까?  : 기후위기와 지리"</f>
        <v>바다거북은 어디로 가야 할까?  : 기후위기와 지리</v>
      </c>
      <c r="D14" s="1" t="str">
        <f>"최재희 지음"</f>
        <v>최재희 지음</v>
      </c>
      <c r="E14" s="1" t="str">
        <f>"창비"</f>
        <v>창비</v>
      </c>
      <c r="F14" s="1" t="str">
        <f>"167 p.:천연색삽화;20 cm"</f>
        <v>167 p.:천연색삽화;20 cm</v>
      </c>
      <c r="G14" s="1"/>
    </row>
    <row r="15" spans="1:7" x14ac:dyDescent="0.3">
      <c r="A15" s="1" t="str">
        <f>"어린이도서관"</f>
        <v>어린이도서관</v>
      </c>
      <c r="B15" s="1" t="str">
        <f>"J470-이15ㅅ"</f>
        <v>J470-이15ㅅ</v>
      </c>
      <c r="C15" s="1" t="str">
        <f>"세포부터 나일까? 언제부터 나일까?  : 생명과학과 자아 탐색"</f>
        <v>세포부터 나일까? 언제부터 나일까?  : 생명과학과 자아 탐색</v>
      </c>
      <c r="D15" s="1" t="str">
        <f>"이고은 지음"</f>
        <v>이고은 지음</v>
      </c>
      <c r="E15" s="1" t="str">
        <f>"창비"</f>
        <v>창비</v>
      </c>
      <c r="F15" s="1" t="str">
        <f>"131 p.:천연색삽화;20 cm"</f>
        <v>131 p.:천연색삽화;20 cm</v>
      </c>
      <c r="G15" s="1"/>
    </row>
    <row r="16" spans="1:7" x14ac:dyDescent="0.3">
      <c r="A16" s="1" t="str">
        <f>"어린이도서관"</f>
        <v>어린이도서관</v>
      </c>
      <c r="B16" s="1" t="str">
        <f>"J813.8-최64ㅆ-1"</f>
        <v>J813.8-최64ㅆ-1</v>
      </c>
      <c r="C16" s="1" t="str">
        <f>"써드  : 최영희 장편동화. 1"</f>
        <v>써드  : 최영희 장편동화. 1</v>
      </c>
      <c r="D16" s="1" t="str">
        <f>"최영희 글;도화 그림"</f>
        <v>최영희 글;도화 그림</v>
      </c>
      <c r="E16" s="1" t="str">
        <f>"허블"</f>
        <v>허블</v>
      </c>
      <c r="F16" s="1" t="str">
        <f>"179 p.:천연색삽화;22 cm"</f>
        <v>179 p.:천연색삽화;22 cm</v>
      </c>
      <c r="G16" s="1"/>
    </row>
    <row r="17" spans="1:7" x14ac:dyDescent="0.3">
      <c r="A17" s="1" t="str">
        <f>"어린이도서관"</f>
        <v>어린이도서관</v>
      </c>
      <c r="B17" s="1" t="str">
        <f>"J813.8-최64ㅆ-2"</f>
        <v>J813.8-최64ㅆ-2</v>
      </c>
      <c r="C17" s="1" t="str">
        <f>"써드  : 최영희 장편동화. 2"</f>
        <v>써드  : 최영희 장편동화. 2</v>
      </c>
      <c r="D17" s="1" t="str">
        <f>"최영희 글;PJ. Kim 그림"</f>
        <v>최영희 글;PJ. Kim 그림</v>
      </c>
      <c r="E17" s="1" t="str">
        <f>"허블"</f>
        <v>허블</v>
      </c>
      <c r="F17" s="1" t="str">
        <f>"248 p.:천연색삽화;22 cm"</f>
        <v>248 p.:천연색삽화;22 cm</v>
      </c>
      <c r="G17" s="1"/>
    </row>
    <row r="18" spans="1:7" x14ac:dyDescent="0.3">
      <c r="A18" s="1" t="str">
        <f>"어린이도서관"</f>
        <v>어린이도서관</v>
      </c>
      <c r="B18" s="1" t="str">
        <f>"J813.8-탁225ㄱ"</f>
        <v>J813.8-탁225ㄱ</v>
      </c>
      <c r="C18" s="1" t="str">
        <f>"길러지지 않는다  : 탁동철 장편동화"</f>
        <v>길러지지 않는다  : 탁동철 장편동화</v>
      </c>
      <c r="D18" s="1" t="str">
        <f>"탁동철 글;김종숙 그림"</f>
        <v>탁동철 글;김종숙 그림</v>
      </c>
      <c r="E18" s="1" t="str">
        <f>"낮은산"</f>
        <v>낮은산</v>
      </c>
      <c r="F18" s="1" t="str">
        <f>"165 p.:천연색삽화;21 cm"</f>
        <v>165 p.:천연색삽화;21 cm</v>
      </c>
      <c r="G18" s="1"/>
    </row>
    <row r="19" spans="1:7" x14ac:dyDescent="0.3">
      <c r="A19" s="1" t="str">
        <f>"어린이도서관"</f>
        <v>어린이도서관</v>
      </c>
      <c r="B19" s="1" t="str">
        <f>"J833.8-오58ㄲ"</f>
        <v>J833.8-오58ㄲ</v>
      </c>
      <c r="C19" s="1" t="str">
        <f>"꿈쩍도 안 할 거야 [그림책]"</f>
        <v>꿈쩍도 안 할 거야 [그림책]</v>
      </c>
      <c r="D19" s="1" t="str">
        <f>"오쓰카 겐타 글;시바타 케이코 그림;황진희 옮김"</f>
        <v>오쓰카 겐타 글;시바타 케이코 그림;황진희 옮김</v>
      </c>
      <c r="E19" s="1" t="str">
        <f>"길벗어린이"</f>
        <v>길벗어린이</v>
      </c>
      <c r="F19" s="1" t="str">
        <f>"[31] p.:천연색삽화;25 cm"</f>
        <v>[31] p.:천연색삽화;25 cm</v>
      </c>
      <c r="G19" s="1"/>
    </row>
    <row r="20" spans="1:7" x14ac:dyDescent="0.3">
      <c r="A20" s="1" t="str">
        <f>"어린이도서관"</f>
        <v>어린이도서관</v>
      </c>
      <c r="B20" s="1" t="str">
        <f>"J863-르33ㅂ"</f>
        <v>J863-르33ㅂ</v>
      </c>
      <c r="C20" s="1" t="str">
        <f>"블루베리 오믈렛 [그림책]"</f>
        <v>블루베리 오믈렛 [그림책]</v>
      </c>
      <c r="D20" s="1" t="str">
        <f>"샤를로트 르메르 글·그림;이정주 옮김"</f>
        <v>샤를로트 르메르 글·그림;이정주 옮김</v>
      </c>
      <c r="E20" s="1" t="str">
        <f>"주니어RHK :알에이치코리아"</f>
        <v>주니어RHK :알에이치코리아</v>
      </c>
      <c r="F20" s="1" t="str">
        <f>"[36] p.:천연색삽화;31 cm"</f>
        <v>[36] p.:천연색삽화;31 cm</v>
      </c>
      <c r="G20" s="1"/>
    </row>
    <row r="21" spans="1:7" x14ac:dyDescent="0.3">
      <c r="A21" s="1" t="str">
        <f>"어린이도서관"</f>
        <v>어린이도서관</v>
      </c>
      <c r="B21" s="1" t="str">
        <f>"J859.7-아228ㄴ"</f>
        <v>J859.7-아228ㄴ</v>
      </c>
      <c r="C21" s="1" t="str">
        <f>"내 딱지 얘기를 하자면 [그림책]"</f>
        <v>내 딱지 얘기를 하자면 [그림책]</v>
      </c>
      <c r="D21" s="1" t="str">
        <f>"엠마 아드보게 지음;이유진 옮김"</f>
        <v>엠마 아드보게 지음;이유진 옮김</v>
      </c>
      <c r="E21" s="1" t="str">
        <f>"문학동네"</f>
        <v>문학동네</v>
      </c>
      <c r="F21" s="1" t="str">
        <f>"36 p.:천연색삽화;28 cm"</f>
        <v>36 p.:천연색삽화;28 cm</v>
      </c>
      <c r="G21" s="1"/>
    </row>
    <row r="22" spans="1:7" x14ac:dyDescent="0.3">
      <c r="A22" s="1" t="str">
        <f>"어린이도서관"</f>
        <v>어린이도서관</v>
      </c>
      <c r="B22" s="1" t="str">
        <f>"J813.8-이671ㅊ"</f>
        <v>J813.8-이671ㅊ</v>
      </c>
      <c r="C22" s="1" t="str">
        <f>"찬란한 여행 [그림책]"</f>
        <v>찬란한 여행 [그림책]</v>
      </c>
      <c r="D22" s="1" t="str">
        <f>"이욱재 글·그림"</f>
        <v>이욱재 글·그림</v>
      </c>
      <c r="E22" s="1" t="str">
        <f>"달그림 :노란돼지"</f>
        <v>달그림 :노란돼지</v>
      </c>
      <c r="F22" s="1" t="str">
        <f>"[40] p.:천연색삽화;26 cm"</f>
        <v>[40] p.:천연색삽화;26 cm</v>
      </c>
      <c r="G22" s="1"/>
    </row>
    <row r="23" spans="1:7" x14ac:dyDescent="0.3">
      <c r="A23" s="1" t="str">
        <f>"어린이도서관"</f>
        <v>어린이도서관</v>
      </c>
      <c r="B23" s="1" t="str">
        <f>"J813.8-이514아"</f>
        <v>J813.8-이514아</v>
      </c>
      <c r="C23" s="1" t="str">
        <f>"아기 멧돼지를 낳았대 [그림책]"</f>
        <v>아기 멧돼지를 낳았대 [그림책]</v>
      </c>
      <c r="D23" s="1" t="str">
        <f>"이상교 글;정문주 그림"</f>
        <v>이상교 글;정문주 그림</v>
      </c>
      <c r="E23" s="1" t="str">
        <f>"딸기책방"</f>
        <v>딸기책방</v>
      </c>
      <c r="F23" s="1" t="str">
        <f>"[32] p.:천연색삽화;29 cm"</f>
        <v>[32] p.:천연색삽화;29 cm</v>
      </c>
      <c r="G23" s="1"/>
    </row>
    <row r="24" spans="1:7" x14ac:dyDescent="0.3">
      <c r="A24" s="1" t="str">
        <f>"어린이도서관"</f>
        <v>어린이도서관</v>
      </c>
      <c r="B24" s="1" t="str">
        <f>"J843-커77ㅎ"</f>
        <v>J843-커77ㅎ</v>
      </c>
      <c r="C24" s="1" t="str">
        <f>"히틀러가 분홍 토끼를 훔치던 날"</f>
        <v>히틀러가 분홍 토끼를 훔치던 날</v>
      </c>
      <c r="D24" s="1" t="str">
        <f>"주디스 커 글·그림;김선희 옮김"</f>
        <v>주디스 커 글·그림;김선희 옮김</v>
      </c>
      <c r="E24" s="1" t="str">
        <f>"북극곰"</f>
        <v>북극곰</v>
      </c>
      <c r="F24" s="1" t="str">
        <f>"331 p.:삽화;23 cm"</f>
        <v>331 p.:삽화;23 cm</v>
      </c>
      <c r="G24" s="1"/>
    </row>
    <row r="25" spans="1:7" x14ac:dyDescent="0.3">
      <c r="A25" s="1" t="str">
        <f>"어린이도서관"</f>
        <v>어린이도서관</v>
      </c>
      <c r="B25" s="1" t="str">
        <f>"J813.8-이6723ㅂ"</f>
        <v>J813.8-이6723ㅂ</v>
      </c>
      <c r="C25" s="1" t="str">
        <f>"불량 수제자"</f>
        <v>불량 수제자</v>
      </c>
      <c r="D25" s="1" t="str">
        <f>"이유리 글;임나운 그림"</f>
        <v>이유리 글;임나운 그림</v>
      </c>
      <c r="E25" s="1" t="str">
        <f>"위즈덤하우스"</f>
        <v>위즈덤하우스</v>
      </c>
      <c r="F25" s="1" t="str">
        <f>"183 p.:천연색삽화;22 cm"</f>
        <v>183 p.:천연색삽화;22 cm</v>
      </c>
      <c r="G25" s="1"/>
    </row>
    <row r="26" spans="1:7" x14ac:dyDescent="0.3">
      <c r="A26" s="1" t="str">
        <f>"어린이도서관"</f>
        <v>어린이도서관</v>
      </c>
      <c r="B26" s="1" t="str">
        <f>"J823.7-치67ㄱ"</f>
        <v>J823.7-치67ㄱ</v>
      </c>
      <c r="C26" s="1" t="str">
        <f>"그랬구나! [그림책]"</f>
        <v>그랬구나! [그림책]</v>
      </c>
      <c r="D26" s="1" t="str">
        <f>"치웨이 글·그림;조은 옮김"</f>
        <v>치웨이 글·그림;조은 옮김</v>
      </c>
      <c r="E26" s="1" t="str">
        <f>"섬드레"</f>
        <v>섬드레</v>
      </c>
      <c r="F26" s="1" t="str">
        <f>"[22] p.:천연색삽화;24 cm"</f>
        <v>[22] p.:천연색삽화;24 cm</v>
      </c>
      <c r="G26" s="1"/>
    </row>
    <row r="27" spans="1:7" x14ac:dyDescent="0.3">
      <c r="A27" s="1" t="str">
        <f>"어린이도서관"</f>
        <v>어린이도서관</v>
      </c>
      <c r="B27" s="1" t="str">
        <f>"J813.8-이6465ㄷ"</f>
        <v>J813.8-이6465ㄷ</v>
      </c>
      <c r="C27" s="1" t="str">
        <f>"달그락 탕 [그림책]"</f>
        <v>달그락 탕 [그림책]</v>
      </c>
      <c r="D27" s="1" t="str">
        <f>"이영림 글·그림"</f>
        <v>이영림 글·그림</v>
      </c>
      <c r="E27" s="1" t="str">
        <f>"웅진주니어"</f>
        <v>웅진주니어</v>
      </c>
      <c r="F27" s="1" t="str">
        <f>"60 p.:천연색삽화;33 cm"</f>
        <v>60 p.:천연색삽화;33 cm</v>
      </c>
      <c r="G27" s="1"/>
    </row>
    <row r="28" spans="1:7" x14ac:dyDescent="0.3">
      <c r="A28" s="1" t="str">
        <f>"어린이도서관"</f>
        <v>어린이도서관</v>
      </c>
      <c r="B28" s="1" t="str">
        <f>"J813.8-김559ㅁ"</f>
        <v>J813.8-김559ㅁ</v>
      </c>
      <c r="C28" s="1" t="str">
        <f>"민트맛 사탕"</f>
        <v>민트맛 사탕</v>
      </c>
      <c r="D28" s="1" t="str">
        <f>"김소희 글·그림"</f>
        <v>김소희 글·그림</v>
      </c>
      <c r="E28" s="1" t="str">
        <f>"길벗어린이"</f>
        <v>길벗어린이</v>
      </c>
      <c r="F28" s="1" t="str">
        <f>"125 p.:전부천연색삽화;21 cm"</f>
        <v>125 p.:전부천연색삽화;21 cm</v>
      </c>
      <c r="G28" s="1"/>
    </row>
    <row r="29" spans="1:7" x14ac:dyDescent="0.3">
      <c r="A29" s="1" t="str">
        <f>"어린이도서관"</f>
        <v>어린이도서관</v>
      </c>
      <c r="B29" s="1" t="str">
        <f>"J813.5-김4423ㅈ"</f>
        <v>J813.5-김4423ㅈ</v>
      </c>
      <c r="C29" s="1" t="str">
        <f>"장화홍련전"</f>
        <v>장화홍련전</v>
      </c>
      <c r="D29" s="1" t="str">
        <f>"김별아 글;권문희 그림"</f>
        <v>김별아 글;권문희 그림</v>
      </c>
      <c r="E29" s="1" t="str">
        <f>"창비"</f>
        <v>창비</v>
      </c>
      <c r="F29" s="1" t="str">
        <f>"113 p.:천연색삽화;23 cm"</f>
        <v>113 p.:천연색삽화;23 cm</v>
      </c>
      <c r="G29" s="1"/>
    </row>
    <row r="30" spans="1:7" x14ac:dyDescent="0.3">
      <c r="A30" s="1" t="str">
        <f>"어린이도서관"</f>
        <v>어린이도서관</v>
      </c>
      <c r="B30" s="1" t="str">
        <f>"J331-금77ㅅ"</f>
        <v>J331-금77ㅅ</v>
      </c>
      <c r="C30" s="1" t="str">
        <f>"소셜 미디어 논쟁"</f>
        <v>소셜 미디어 논쟁</v>
      </c>
      <c r="D30" s="1" t="str">
        <f>"금준경 글;오승만 그림"</f>
        <v>금준경 글;오승만 그림</v>
      </c>
      <c r="E30" s="1" t="str">
        <f>"풀빛"</f>
        <v>풀빛</v>
      </c>
      <c r="F30" s="1" t="str">
        <f>"194 p.:천연색삽화, 도표;23 cm"</f>
        <v>194 p.:천연색삽화, 도표;23 cm</v>
      </c>
      <c r="G30" s="1"/>
    </row>
    <row r="31" spans="1:7" x14ac:dyDescent="0.3">
      <c r="A31" s="1" t="str">
        <f>"어린이도서관"</f>
        <v>어린이도서관</v>
      </c>
      <c r="B31" s="1" t="str">
        <f>"J539.98-페17ㅂ"</f>
        <v>J539.98-페17ㅂ</v>
      </c>
      <c r="C31" s="1" t="str">
        <f>"바다의 생물, 플라스틱"</f>
        <v>바다의 생물, 플라스틱</v>
      </c>
      <c r="D31" s="1" t="str">
        <f>"아나 페구,이자베우 밍뇨스 마르칭스 글;베르나르두 카르발류 그림;이나현 옮김"</f>
        <v>아나 페구,이자베우 밍뇨스 마르칭스 글;베르나르두 카르발류 그림;이나현 옮김</v>
      </c>
      <c r="E31" s="1" t="str">
        <f>"살림어린이"</f>
        <v>살림어린이</v>
      </c>
      <c r="F31" s="1" t="str">
        <f>"172 p.:천연색삽화;21 cm"</f>
        <v>172 p.:천연색삽화;21 cm</v>
      </c>
      <c r="G31" s="1"/>
    </row>
    <row r="32" spans="1:7" x14ac:dyDescent="0.3">
      <c r="A32" s="1" t="str">
        <f>"어린이도서관"</f>
        <v>어린이도서관</v>
      </c>
      <c r="B32" s="1" t="str">
        <f>"J219.11-정91ㅇ"</f>
        <v>J219.11-정91ㅇ</v>
      </c>
      <c r="C32" s="1" t="str">
        <f>"염라대왕을 잡아라"</f>
        <v>염라대왕을 잡아라</v>
      </c>
      <c r="D32" s="1" t="str">
        <f>"정하섭 글;한병호 그림"</f>
        <v>정하섭 글;한병호 그림</v>
      </c>
      <c r="E32" s="1" t="str">
        <f>"창비"</f>
        <v>창비</v>
      </c>
      <c r="F32" s="1" t="str">
        <f>"106 p.:천연색삽화;24 cm"</f>
        <v>106 p.:천연색삽화;24 cm</v>
      </c>
      <c r="G32" s="1"/>
    </row>
    <row r="33" spans="1:7" x14ac:dyDescent="0.3">
      <c r="A33" s="1" t="str">
        <f>"어린이도서관"</f>
        <v>어린이도서관</v>
      </c>
      <c r="B33" s="1" t="str">
        <f>"J840-퀸43ㅇ"</f>
        <v>J840-퀸43ㅇ</v>
      </c>
      <c r="C33" s="1" t="str">
        <f>"안내견 곰  : 시력을 잃어버린 안내견의 특별한 여행"</f>
        <v>안내견 곰  : 시력을 잃어버린 안내견의 특별한 여행</v>
      </c>
      <c r="D33" s="1" t="str">
        <f>"벤 퀸 지음;조 토드 스탠튼 그림;임윤정 옮김"</f>
        <v>벤 퀸 지음;조 토드 스탠튼 그림;임윤정 옮김</v>
      </c>
      <c r="E33" s="1" t="str">
        <f>"밝은미래"</f>
        <v>밝은미래</v>
      </c>
      <c r="F33" s="1" t="str">
        <f>"157 p.:전부천연색삽화;25 cm"</f>
        <v>157 p.:전부천연색삽화;25 cm</v>
      </c>
      <c r="G33" s="1"/>
    </row>
    <row r="34" spans="1:7" x14ac:dyDescent="0.3">
      <c r="A34" s="1" t="str">
        <f>"어린이도서관"</f>
        <v>어린이도서관</v>
      </c>
      <c r="B34" s="1" t="str">
        <f>"J931.1-데69ㄱ"</f>
        <v>J931.1-데69ㄱ</v>
      </c>
      <c r="C34" s="1" t="str">
        <f>"고대 이집트"</f>
        <v>고대 이집트</v>
      </c>
      <c r="D34" s="1" t="str">
        <f>"제임스 데이비스 글·그림;김완균 옮김"</f>
        <v>제임스 데이비스 글·그림;김완균 옮김</v>
      </c>
      <c r="E34" s="1" t="str">
        <f>"책세상어린이"</f>
        <v>책세상어린이</v>
      </c>
      <c r="F34" s="1" t="str">
        <f>"63 p.:천연색삽화;21 cm"</f>
        <v>63 p.:천연색삽화;21 cm</v>
      </c>
      <c r="G34" s="1"/>
    </row>
    <row r="35" spans="1:7" x14ac:dyDescent="0.3">
      <c r="A35" s="1" t="str">
        <f>"어린이도서관"</f>
        <v>어린이도서관</v>
      </c>
      <c r="B35" s="1" t="str">
        <f>"J181-잔228ㅇ"</f>
        <v>J181-잔228ㅇ</v>
      </c>
      <c r="C35" s="1" t="str">
        <f>"우리는 왜 싸우는 걸까? [그림책]"</f>
        <v>우리는 왜 싸우는 걸까? [그림책]</v>
      </c>
      <c r="D35" s="1" t="str">
        <f>"잔드라 글;레나 엘러만 그림;서문연 옮김"</f>
        <v>잔드라 글;레나 엘러만 그림;서문연 옮김</v>
      </c>
      <c r="E35" s="1" t="str">
        <f>"꼬마이실 :이론과실천"</f>
        <v>꼬마이실 :이론과실천</v>
      </c>
      <c r="F35" s="1" t="str">
        <f>"[40] p.:천연색삽화;29 cm"</f>
        <v>[40] p.:천연색삽화;29 cm</v>
      </c>
      <c r="G35" s="1"/>
    </row>
    <row r="36" spans="1:7" x14ac:dyDescent="0.3">
      <c r="A36" s="1" t="str">
        <f>"어린이도서관"</f>
        <v>어린이도서관</v>
      </c>
      <c r="B36" s="1" t="str">
        <f>"J598.5-커59ㅁ"</f>
        <v>J598.5-커59ㅁ</v>
      </c>
      <c r="C36" s="1" t="str">
        <f>"몸몸몸 [그림책] : 나의 몸 너의 몸 다른 몸"</f>
        <v>몸몸몸 [그림책] : 나의 몸 너의 몸 다른 몸</v>
      </c>
      <c r="D36" s="1" t="str">
        <f>"서맨사 커시오 글·그림;김보람 옮김"</f>
        <v>서맨사 커시오 글·그림;김보람 옮김</v>
      </c>
      <c r="E36" s="1" t="str">
        <f>"불의여우 :에이치비"</f>
        <v>불의여우 :에이치비</v>
      </c>
      <c r="F36" s="1" t="str">
        <f>"[22] p.:천연색삽화;29 cm"</f>
        <v>[22] p.:천연색삽화;29 cm</v>
      </c>
      <c r="G36" s="1"/>
    </row>
    <row r="37" spans="1:7" x14ac:dyDescent="0.3">
      <c r="A37" s="1" t="str">
        <f>"어린이도서관"</f>
        <v>어린이도서관</v>
      </c>
      <c r="B37" s="1" t="str">
        <f>"J813.8-이642ㅎ"</f>
        <v>J813.8-이642ㅎ</v>
      </c>
      <c r="C37" s="1" t="str">
        <f>"할머니 집에서"</f>
        <v>할머니 집에서</v>
      </c>
      <c r="D37" s="1" t="str">
        <f>"이영득 글;김동수 그림"</f>
        <v>이영득 글;김동수 그림</v>
      </c>
      <c r="E37" s="1" t="str">
        <f>"보림"</f>
        <v>보림</v>
      </c>
      <c r="F37" s="1" t="str">
        <f>"54 p.:천연색삽화;23 cm"</f>
        <v>54 p.:천연색삽화;23 cm</v>
      </c>
      <c r="G37" s="1"/>
    </row>
    <row r="38" spans="1:7" x14ac:dyDescent="0.3">
      <c r="A38" s="1" t="str">
        <f>"어린이도서관"</f>
        <v>어린이도서관</v>
      </c>
      <c r="B38" s="1" t="str">
        <f>"J813.8-노73ㅁ"</f>
        <v>J813.8-노73ㅁ</v>
      </c>
      <c r="C38" s="1" t="str">
        <f>"물속으로 첨벙!  : 명랑 생태 동화"</f>
        <v>물속으로 첨벙!  : 명랑 생태 동화</v>
      </c>
      <c r="D38" s="1" t="str">
        <f>"노정임 글;이경석 그림"</f>
        <v>노정임 글;이경석 그림</v>
      </c>
      <c r="E38" s="1" t="str">
        <f>"웃는돌고래 :이후"</f>
        <v>웃는돌고래 :이후</v>
      </c>
      <c r="F38" s="1" t="str">
        <f>"79 p.:천연색삽화;22 cm"</f>
        <v>79 p.:천연색삽화;22 cm</v>
      </c>
      <c r="G38" s="1"/>
    </row>
    <row r="39" spans="1:7" x14ac:dyDescent="0.3">
      <c r="A39" s="1" t="str">
        <f>"어린이도서관"</f>
        <v>어린이도서관</v>
      </c>
      <c r="B39" s="1" t="str">
        <f>"J813.8-노73ㄸ"</f>
        <v>J813.8-노73ㄸ</v>
      </c>
      <c r="C39" s="1" t="str">
        <f>"땅속에 누가 살아?  : 명랑 생태 동화"</f>
        <v>땅속에 누가 살아?  : 명랑 생태 동화</v>
      </c>
      <c r="D39" s="1" t="str">
        <f>"노정임 글;이경석 그림"</f>
        <v>노정임 글;이경석 그림</v>
      </c>
      <c r="E39" s="1" t="str">
        <f>"웃는돌고래 :이후"</f>
        <v>웃는돌고래 :이후</v>
      </c>
      <c r="F39" s="1" t="str">
        <f>"63 p.:천연색삽화;22 cm"</f>
        <v>63 p.:천연색삽화;22 cm</v>
      </c>
      <c r="G39" s="1"/>
    </row>
    <row r="40" spans="1:7" x14ac:dyDescent="0.3">
      <c r="A40" s="1" t="str">
        <f>"어린이도서관"</f>
        <v>어린이도서관</v>
      </c>
      <c r="B40" s="1" t="str">
        <f>"J813.8-노73ㄷ"</f>
        <v>J813.8-노73ㄷ</v>
      </c>
      <c r="C40" s="1" t="str">
        <f>"동물원이 좋아?  : 명랑 생태 동화"</f>
        <v>동물원이 좋아?  : 명랑 생태 동화</v>
      </c>
      <c r="D40" s="1" t="str">
        <f>"노정임 글;이경석 그림"</f>
        <v>노정임 글;이경석 그림</v>
      </c>
      <c r="E40" s="1" t="str">
        <f>"웃는돌고래 :이후"</f>
        <v>웃는돌고래 :이후</v>
      </c>
      <c r="F40" s="1" t="str">
        <f>"71 p.:천연색삽화;22 cm"</f>
        <v>71 p.:천연색삽화;22 cm</v>
      </c>
      <c r="G40" s="1"/>
    </row>
    <row r="41" spans="1:7" x14ac:dyDescent="0.3">
      <c r="A41" s="1" t="str">
        <f>"어린이도서관"</f>
        <v>어린이도서관</v>
      </c>
      <c r="B41" s="1" t="str">
        <f>"J843-마698ㅍ"</f>
        <v>J843-마698ㅍ</v>
      </c>
      <c r="C41" s="1" t="str">
        <f>"파도가 차르르 [그림책] :  맷 마이어스 그림책"</f>
        <v>파도가 차르르 [그림책] :  맷 마이어스 그림책</v>
      </c>
      <c r="D41" s="1" t="str">
        <f>"맷 마이어스 글·그림;김지은 옮김"</f>
        <v>맷 마이어스 글·그림;김지은 옮김</v>
      </c>
      <c r="E41" s="1" t="str">
        <f>"창비"</f>
        <v>창비</v>
      </c>
      <c r="F41" s="1" t="str">
        <f>"38 p.:천연색삽화;26 cm"</f>
        <v>38 p.:천연색삽화;26 cm</v>
      </c>
      <c r="G41" s="1"/>
    </row>
    <row r="42" spans="1:7" x14ac:dyDescent="0.3">
      <c r="A42" s="1" t="str">
        <f>"어린이도서관"</f>
        <v>어린이도서관</v>
      </c>
      <c r="B42" s="1" t="str">
        <f>"J813.8-박7794ㅇ"</f>
        <v>J813.8-박7794ㅇ</v>
      </c>
      <c r="C42" s="1" t="str">
        <f>"온다 [그림책]"</f>
        <v>온다 [그림책]</v>
      </c>
      <c r="D42" s="1" t="str">
        <f>"박주현 글·그림"</f>
        <v>박주현 글·그림</v>
      </c>
      <c r="E42" s="1" t="str">
        <f>"현암주니어:현암사"</f>
        <v>현암주니어:현암사</v>
      </c>
      <c r="F42" s="1" t="str">
        <f>"[1책]:천연색삽화;27 cm"</f>
        <v>[1책]:천연색삽화;27 cm</v>
      </c>
      <c r="G42" s="1"/>
    </row>
    <row r="43" spans="1:7" x14ac:dyDescent="0.3">
      <c r="A43" s="1" t="str">
        <f>"어린이도서관"</f>
        <v>어린이도서관</v>
      </c>
      <c r="B43" s="1" t="str">
        <f>"J813.8-장64ㅇ=2"</f>
        <v>J813.8-장64ㅇ=2</v>
      </c>
      <c r="C43" s="1" t="str">
        <f>"여름 휴가 [그림책]"</f>
        <v>여름 휴가 [그림책]</v>
      </c>
      <c r="D43" s="1" t="str">
        <f>"장영복 글;이혜리 그림"</f>
        <v>장영복 글;이혜리 그림</v>
      </c>
      <c r="E43" s="1" t="str">
        <f>"국민서관"</f>
        <v>국민서관</v>
      </c>
      <c r="F43" s="1" t="str">
        <f>"1책 (면수없음):천연색삽화;33 cm"</f>
        <v>1책 (면수없음):천연색삽화;33 cm</v>
      </c>
      <c r="G43" s="1"/>
    </row>
    <row r="44" spans="1:7" x14ac:dyDescent="0.3">
      <c r="A44" s="1" t="str">
        <f>"어린이도서관"</f>
        <v>어린이도서관</v>
      </c>
      <c r="B44" s="1" t="str">
        <f>"J843-스8496ㅇ=2"</f>
        <v>J843-스8496ㅇ=2</v>
      </c>
      <c r="C44" s="1" t="str">
        <f>"야호, 비 온다! [그림책]"</f>
        <v>야호, 비 온다! [그림책]</v>
      </c>
      <c r="D44" s="1" t="str">
        <f>"피터 스피어 지음"</f>
        <v>피터 스피어 지음</v>
      </c>
      <c r="E44" s="1" t="str">
        <f>"비룡소"</f>
        <v>비룡소</v>
      </c>
      <c r="F44" s="1" t="str">
        <f>"[31] p.:삽화;27 cm"</f>
        <v>[31] p.:삽화;27 cm</v>
      </c>
      <c r="G44" s="1"/>
    </row>
    <row r="45" spans="1:7" x14ac:dyDescent="0.3">
      <c r="A45" s="1" t="str">
        <f>"어린이도서관"</f>
        <v>어린이도서관</v>
      </c>
      <c r="B45" s="1" t="str">
        <f>"J863-문228ㅅ"</f>
        <v>J863-문228ㅅ</v>
      </c>
      <c r="C45" s="1" t="str">
        <f>"수영 팬티  : 내 생애 최악의 여름 방학"</f>
        <v>수영 팬티  : 내 생애 최악의 여름 방학</v>
      </c>
      <c r="D45" s="1" t="str">
        <f>"샤를로트 문드리크 글;올리비에 탈레크 그림;김영신 옮김"</f>
        <v>샤를로트 문드리크 글;올리비에 탈레크 그림;김영신 옮김</v>
      </c>
      <c r="E45" s="1" t="str">
        <f>"한울림어린이"</f>
        <v>한울림어린이</v>
      </c>
      <c r="F45" s="1" t="str">
        <f>"[40] p.:천연색삽화;25 cm"</f>
        <v>[40] p.:천연색삽화;25 cm</v>
      </c>
      <c r="G45" s="1"/>
    </row>
    <row r="46" spans="1:7" x14ac:dyDescent="0.3">
      <c r="A46" s="1" t="str">
        <f>"어린이도서관"</f>
        <v>어린이도서관</v>
      </c>
      <c r="B46" s="1" t="str">
        <f>"J833.8-후796ㅁ"</f>
        <v>J833.8-후796ㅁ</v>
      </c>
      <c r="C46" s="1" t="str">
        <f>"마법의 여름 [그림책]"</f>
        <v>마법의 여름 [그림책]</v>
      </c>
      <c r="D46" s="1" t="str">
        <f>"후지와라 카즈에,하타 코시로 [공]글;하타 코시로 그림;김정화 옮김"</f>
        <v>후지와라 카즈에,하타 코시로 [공]글;하타 코시로 그림;김정화 옮김</v>
      </c>
      <c r="E46" s="1" t="str">
        <f>"미래엔:아이세움"</f>
        <v>미래엔:아이세움</v>
      </c>
      <c r="F46" s="1" t="str">
        <f>"32 p.:천연색삽화;25 cm"</f>
        <v>32 p.:천연색삽화;25 cm</v>
      </c>
      <c r="G46" s="1"/>
    </row>
    <row r="47" spans="1:7" x14ac:dyDescent="0.3">
      <c r="A47" s="1" t="str">
        <f>"어린이도서관"</f>
        <v>어린이도서관</v>
      </c>
      <c r="B47" s="1" t="str">
        <f>"J811.8-최75ㅉ"</f>
        <v>J811.8-최75ㅉ</v>
      </c>
      <c r="C47" s="1" t="str">
        <f>"쫀드기 쌤 찐드기 쌤"</f>
        <v>쫀드기 쌤 찐드기 쌤</v>
      </c>
      <c r="D47" s="1" t="str">
        <f>"최종득 시;지연준 그림"</f>
        <v>최종득 시;지연준 그림</v>
      </c>
      <c r="E47" s="1" t="str">
        <f>"문학동네"</f>
        <v>문학동네</v>
      </c>
      <c r="F47" s="1" t="str">
        <f>"107 p.:천연색삽화;21 cm"</f>
        <v>107 p.:천연색삽화;21 cm</v>
      </c>
      <c r="G47" s="1"/>
    </row>
    <row r="48" spans="1:7" x14ac:dyDescent="0.3">
      <c r="A48" s="1" t="str">
        <f>"어린이도서관"</f>
        <v>어린이도서관</v>
      </c>
      <c r="B48" s="1" t="str">
        <f>"J813.8-김53216나"</f>
        <v>J813.8-김53216나</v>
      </c>
      <c r="C48" s="1" t="str">
        <f>"나의 작은 집 [그림책]"</f>
        <v>나의 작은 집 [그림책]</v>
      </c>
      <c r="D48" s="1" t="str">
        <f>"김선진 글·그림"</f>
        <v>김선진 글·그림</v>
      </c>
      <c r="E48" s="1" t="str">
        <f>"상수리"</f>
        <v>상수리</v>
      </c>
      <c r="F48" s="1" t="str">
        <f>"[48] p.:삽화;32 cm"</f>
        <v>[48] p.:삽화;32 cm</v>
      </c>
      <c r="G48" s="1"/>
    </row>
    <row r="49" spans="1:7" x14ac:dyDescent="0.3">
      <c r="A49" s="1" t="str">
        <f>"어린이도서관"</f>
        <v>어린이도서관</v>
      </c>
      <c r="B49" s="1" t="str">
        <f>"J813.8-석813버"</f>
        <v>J813.8-석813버</v>
      </c>
      <c r="C49" s="1" t="str">
        <f>"버스야 다 모여! [그림책]"</f>
        <v>버스야 다 모여! [그림책]</v>
      </c>
      <c r="D49" s="1" t="str">
        <f>"석철원 글·그림"</f>
        <v>석철원 글·그림</v>
      </c>
      <c r="E49" s="1" t="str">
        <f>"여유당"</f>
        <v>여유당</v>
      </c>
      <c r="F49" s="1" t="str">
        <f>"1책:천연색삽화;21 cm"</f>
        <v>1책:천연색삽화;21 cm</v>
      </c>
      <c r="G49" s="1"/>
    </row>
    <row r="50" spans="1:7" x14ac:dyDescent="0.3">
      <c r="A50" s="1" t="str">
        <f>"어린이도서관"</f>
        <v>어린이도서관</v>
      </c>
      <c r="B50" s="1" t="str">
        <f>"J219.2-김14ㅂ"</f>
        <v>J219.2-김14ㅂ</v>
      </c>
      <c r="C50" s="1" t="str">
        <f>"변신 이야기"</f>
        <v>변신 이야기</v>
      </c>
      <c r="D50" s="1" t="str">
        <f>"오비디우스 원작;김경후 글;라파엘로 산치오 외 그림"</f>
        <v>오비디우스 원작;김경후 글;라파엘로 산치오 외 그림</v>
      </c>
      <c r="E50" s="1" t="str">
        <f>"문학동네"</f>
        <v>문학동네</v>
      </c>
      <c r="F50" s="1" t="str">
        <f>"158 p.:천연색삽화;22 cm"</f>
        <v>158 p.:천연색삽화;22 cm</v>
      </c>
      <c r="G50" s="1"/>
    </row>
    <row r="51" spans="1:7" x14ac:dyDescent="0.3">
      <c r="A51" s="1" t="str">
        <f>"어린이도서관"</f>
        <v>어린이도서관</v>
      </c>
      <c r="B51" s="1" t="str">
        <f>"J911.03-일64이"</f>
        <v>J911.03-일64이</v>
      </c>
      <c r="C51" s="1" t="str">
        <f>"삼국유사  : 일연 스님이 전해 준 역사 속 옛이야기"</f>
        <v>삼국유사  : 일연 스님이 전해 준 역사 속 옛이야기</v>
      </c>
      <c r="D51" s="1" t="str">
        <f>"이진이 글;장경혜 그림"</f>
        <v>이진이 글;장경혜 그림</v>
      </c>
      <c r="E51" s="1" t="str">
        <f>"책과함께어린이 :책과함께"</f>
        <v>책과함께어린이 :책과함께</v>
      </c>
      <c r="F51" s="1" t="str">
        <f>"167 p.:천연색삽화;26 cm"</f>
        <v>167 p.:천연색삽화;26 cm</v>
      </c>
      <c r="G51" s="1"/>
    </row>
    <row r="52" spans="1:7" x14ac:dyDescent="0.3">
      <c r="A52" s="1" t="str">
        <f>"어린이도서관"</f>
        <v>어린이도서관</v>
      </c>
      <c r="B52" s="1" t="str">
        <f>"J813.5-정61ㅈ"</f>
        <v>J813.5-정61ㅈ</v>
      </c>
      <c r="C52" s="1" t="str">
        <f>"전우치전  : 거침없는 도술로 세상을 뒤흔든 악동 도사"</f>
        <v>전우치전  : 거침없는 도술로 세상을 뒤흔든 악동 도사</v>
      </c>
      <c r="D52" s="1" t="str">
        <f>"정아원 글"</f>
        <v>정아원 글</v>
      </c>
      <c r="E52" s="1" t="str">
        <f>"파란자전거"</f>
        <v>파란자전거</v>
      </c>
      <c r="F52" s="1" t="str">
        <f>"169 p.:천연색삽화;23 cm"</f>
        <v>169 p.:천연색삽화;23 cm</v>
      </c>
      <c r="G52" s="1"/>
    </row>
    <row r="53" spans="1:7" x14ac:dyDescent="0.3">
      <c r="A53" s="1" t="str">
        <f>"어린이도서관"</f>
        <v>어린이도서관</v>
      </c>
      <c r="B53" s="1" t="str">
        <f>"J813.5-박79허"</f>
        <v>J813.5-박79허</v>
      </c>
      <c r="C53" s="1" t="str">
        <f>"허생전  : 글방 샌님, 새로운 세상을 실험하다"</f>
        <v>허생전  : 글방 샌님, 새로운 세상을 실험하다</v>
      </c>
      <c r="D53" s="1" t="str">
        <f>"[박지원 원작];이영서 글;박세영 그림"</f>
        <v>[박지원 원작];이영서 글;박세영 그림</v>
      </c>
      <c r="E53" s="1" t="str">
        <f>"마음이음"</f>
        <v>마음이음</v>
      </c>
      <c r="F53" s="1" t="str">
        <f>"142 p.:천연색삽화;22 cm"</f>
        <v>142 p.:천연색삽화;22 cm</v>
      </c>
      <c r="G53" s="1"/>
    </row>
    <row r="54" spans="1:7" x14ac:dyDescent="0.3">
      <c r="A54" s="1" t="str">
        <f>"어린이도서관"</f>
        <v>어린이도서관</v>
      </c>
      <c r="B54" s="1" t="str">
        <f>"J813.5-홍69ㅊ"</f>
        <v>J813.5-홍69ㅊ</v>
      </c>
      <c r="C54" s="1" t="str">
        <f>"춘향전"</f>
        <v>춘향전</v>
      </c>
      <c r="D54" s="1" t="str">
        <f>"홍인숙 풀어옮김;김영희 해설;비깔 그림"</f>
        <v>홍인숙 풀어옮김;김영희 해설;비깔 그림</v>
      </c>
      <c r="E54" s="1" t="str">
        <f>"서해문집"</f>
        <v>서해문집</v>
      </c>
      <c r="F54" s="1" t="str">
        <f>"259 p.:천연색삽화;21 cm"</f>
        <v>259 p.:천연색삽화;21 cm</v>
      </c>
      <c r="G54" s="1"/>
    </row>
    <row r="55" spans="1:7" x14ac:dyDescent="0.3">
      <c r="A55" s="1" t="str">
        <f>"어린이도서관"</f>
        <v>어린이도서관</v>
      </c>
      <c r="B55" s="1" t="str">
        <f>"J813.5-박68ㅈ"</f>
        <v>J813.5-박68ㅈ</v>
      </c>
      <c r="C55" s="1" t="str">
        <f>"장화홍련전  : 억울함 풀고 환생한 기기묘묘 자매 이야기"</f>
        <v>장화홍련전  : 억울함 풀고 환생한 기기묘묘 자매 이야기</v>
      </c>
      <c r="D55" s="1" t="str">
        <f>"박은정 글;김효찬 그림"</f>
        <v>박은정 글;김효찬 그림</v>
      </c>
      <c r="E55" s="1" t="str">
        <f>"파란자전거"</f>
        <v>파란자전거</v>
      </c>
      <c r="F55" s="1" t="str">
        <f>"172 p.:천연색삽화, 악보;23 cm"</f>
        <v>172 p.:천연색삽화, 악보;23 cm</v>
      </c>
      <c r="G55" s="1"/>
    </row>
    <row r="56" spans="1:7" x14ac:dyDescent="0.3">
      <c r="A56" s="1" t="str">
        <f>"어린이도서관"</f>
        <v>어린이도서관</v>
      </c>
      <c r="B56" s="1" t="str">
        <f>"J813.5-박57ㅌ"</f>
        <v>J813.5-박57ㅌ</v>
      </c>
      <c r="C56" s="1" t="str">
        <f>"토끼전  : 꾀쟁이 토끼의 신기방기 용궁 탈출 이야기"</f>
        <v>토끼전  : 꾀쟁이 토끼의 신기방기 용궁 탈출 이야기</v>
      </c>
      <c r="D56" s="1" t="str">
        <f>"박수미 글;김언희 그림"</f>
        <v>박수미 글;김언희 그림</v>
      </c>
      <c r="E56" s="1" t="str">
        <f>"파란자전거"</f>
        <v>파란자전거</v>
      </c>
      <c r="F56" s="1" t="str">
        <f>"171 p.:천연색삽화;23 cm"</f>
        <v>171 p.:천연색삽화;23 cm</v>
      </c>
      <c r="G56" s="1"/>
    </row>
    <row r="57" spans="1:7" x14ac:dyDescent="0.3">
      <c r="A57" s="1" t="str">
        <f>"어린이도서관"</f>
        <v>어린이도서관</v>
      </c>
      <c r="B57" s="1" t="str">
        <f>"J811-정94ㄸ"</f>
        <v>J811-정94ㄸ</v>
      </c>
      <c r="C57" s="1" t="str">
        <f>"딱 한마디 우리 노래  : 삶을 노래한 옛사람의 말"</f>
        <v>딱 한마디 우리 노래  : 삶을 노래한 옛사람의 말</v>
      </c>
      <c r="D57" s="1" t="str">
        <f>"정혜원 글;조에스더 그림"</f>
        <v>정혜원 글;조에스더 그림</v>
      </c>
      <c r="E57" s="1" t="str">
        <f>"천개의바람"</f>
        <v>천개의바람</v>
      </c>
      <c r="F57" s="1" t="str">
        <f>"104 p.:천연색삽화;22 cm"</f>
        <v>104 p.:천연색삽화;22 cm</v>
      </c>
      <c r="G57" s="1"/>
    </row>
    <row r="58" spans="1:7" x14ac:dyDescent="0.3">
      <c r="A58" s="1" t="str">
        <f>"어린이도서관"</f>
        <v>어린이도서관</v>
      </c>
      <c r="B58" s="1" t="str">
        <f>"J813.5-박79양"</f>
        <v>J813.5-박79양</v>
      </c>
      <c r="C58" s="1" t="str">
        <f>"양반전, 허생전, 예덕 선생전  : 양반 세상을 뒤집어 놓은 해학과 풍자"</f>
        <v>양반전, 허생전, 예덕 선생전  : 양반 세상을 뒤집어 놓은 해학과 풍자</v>
      </c>
      <c r="D58" s="1" t="str">
        <f>"박지원 원작;강민경 글;홍선주 그림"</f>
        <v>박지원 원작;강민경 글;홍선주 그림</v>
      </c>
      <c r="E58" s="1" t="str">
        <f>"파란자전거"</f>
        <v>파란자전거</v>
      </c>
      <c r="F58" s="1" t="str">
        <f>"163 p.:천연색삽화, 초상;23 cm"</f>
        <v>163 p.:천연색삽화, 초상;23 cm</v>
      </c>
      <c r="G58" s="1"/>
    </row>
    <row r="59" spans="1:7" x14ac:dyDescent="0.3">
      <c r="A59" s="1" t="str">
        <f>"어린이도서관"</f>
        <v>어린이도서관</v>
      </c>
      <c r="B59" s="1" t="str">
        <f>"J813.5-박68ㅂ"</f>
        <v>J813.5-박68ㅂ</v>
      </c>
      <c r="C59" s="1" t="str">
        <f>"박씨전  : 청나라 혼쭐내고 백성을 위로한 영웅 이야기"</f>
        <v>박씨전  : 청나라 혼쭐내고 백성을 위로한 영웅 이야기</v>
      </c>
      <c r="D59" s="1" t="str">
        <f>"박은정 글;조정림 그림"</f>
        <v>박은정 글;조정림 그림</v>
      </c>
      <c r="E59" s="1" t="str">
        <f>"파란자전거"</f>
        <v>파란자전거</v>
      </c>
      <c r="F59" s="1" t="str">
        <f>"184 p.:천연색삽화, 초상;23 cm"</f>
        <v>184 p.:천연색삽화, 초상;23 cm</v>
      </c>
      <c r="G59" s="1"/>
    </row>
    <row r="60" spans="1:7" x14ac:dyDescent="0.3">
      <c r="A60" s="1" t="str">
        <f>"어린이도서관"</f>
        <v>어린이도서관</v>
      </c>
      <c r="B60" s="1" t="str">
        <f>"J814.5-유59ㅈ"</f>
        <v>J814.5-유59ㅈ</v>
      </c>
      <c r="C60" s="1" t="str">
        <f>"자끈동, 바늘이 두 동강"</f>
        <v>자끈동, 바늘이 두 동강</v>
      </c>
      <c r="D60" s="1" t="str">
        <f>"[원작: 유씨 부인];장세현 글;이경국 그림"</f>
        <v>[원작: 유씨 부인];장세현 글;이경국 그림</v>
      </c>
      <c r="E60" s="1" t="str">
        <f>"꼬마이실 :이론과실천"</f>
        <v>꼬마이실 :이론과실천</v>
      </c>
      <c r="F60" s="1" t="str">
        <f>"[31] p.:천연색삽화;26 cm"</f>
        <v>[31] p.:천연색삽화;26 cm</v>
      </c>
      <c r="G60" s="1"/>
    </row>
    <row r="61" spans="1:7" x14ac:dyDescent="0.3">
      <c r="A61" s="1" t="str">
        <f>"어린이도서관"</f>
        <v>어린이도서관</v>
      </c>
      <c r="B61" s="1" t="str">
        <f>"J813.8-김6421ㄴ"</f>
        <v>J813.8-김6421ㄴ</v>
      </c>
      <c r="C61" s="1" t="str">
        <f>"눈물 파는 아이, 곡비"</f>
        <v>눈물 파는 아이, 곡비</v>
      </c>
      <c r="D61" s="1" t="str">
        <f>"김연진 글;국민지 그림"</f>
        <v>김연진 글;국민지 그림</v>
      </c>
      <c r="E61" s="1" t="str">
        <f>"오늘책 :키즈스콜레 :키즈스콜레"</f>
        <v>오늘책 :키즈스콜레 :키즈스콜레</v>
      </c>
      <c r="F61" s="1" t="str">
        <f>"143 p.:천연색삽화;23 cm"</f>
        <v>143 p.:천연색삽화;23 cm</v>
      </c>
      <c r="G61" s="1"/>
    </row>
    <row r="62" spans="1:7" x14ac:dyDescent="0.3">
      <c r="A62" s="1" t="str">
        <f>"어린이도서관"</f>
        <v>어린이도서관</v>
      </c>
      <c r="B62" s="1" t="str">
        <f>"J813.8-전677ㅇ"</f>
        <v>J813.8-전677ㅇ</v>
      </c>
      <c r="C62" s="1" t="str">
        <f>"예언의 고야"</f>
        <v>예언의 고야</v>
      </c>
      <c r="D62" s="1" t="str">
        <f>"전우진 글;송효정 그림"</f>
        <v>전우진 글;송효정 그림</v>
      </c>
      <c r="E62" s="1" t="str">
        <f>"오늘책 :키즈스콜레"</f>
        <v>오늘책 :키즈스콜레</v>
      </c>
      <c r="F62" s="1" t="str">
        <f>"147 p.:천연색삽화;23 cm"</f>
        <v>147 p.:천연색삽화;23 cm</v>
      </c>
      <c r="G62" s="1"/>
    </row>
    <row r="63" spans="1:7" x14ac:dyDescent="0.3">
      <c r="A63" s="1" t="str">
        <f>"어린이도서관"</f>
        <v>어린이도서관</v>
      </c>
      <c r="B63" s="1" t="str">
        <f>"J811.8-김77ㅌ"</f>
        <v>J811.8-김77ㅌ</v>
      </c>
      <c r="C63" s="1" t="str">
        <f>"토마토 기준"</f>
        <v>토마토 기준</v>
      </c>
      <c r="D63" s="1" t="str">
        <f>"김준현 시;송선옥 그림"</f>
        <v>김준현 시;송선옥 그림</v>
      </c>
      <c r="E63" s="1" t="str">
        <f>"문학동네"</f>
        <v>문학동네</v>
      </c>
      <c r="F63" s="1" t="str">
        <f>"111 p.:천연색삽화;21 cm"</f>
        <v>111 p.:천연색삽화;21 cm</v>
      </c>
      <c r="G63" s="1"/>
    </row>
    <row r="64" spans="1:7" x14ac:dyDescent="0.3">
      <c r="A64" s="1" t="str">
        <f>"어린이도서관"</f>
        <v>어린이도서관</v>
      </c>
      <c r="B64" s="1" t="str">
        <f>"J673-김39ㄱ"</f>
        <v>J673-김39ㄱ</v>
      </c>
      <c r="C64" s="1" t="str">
        <f>"김민기 어린이를 담다  : 김민기 동요상자"</f>
        <v>김민기 어린이를 담다  : 김민기 동요상자</v>
      </c>
      <c r="D64" s="1" t="str">
        <f>"김민기 작사·작곡;조경옥,굴렁쇠아이들,홍순관 노래;신혜원,이은홍 그림;김수남,장성하 사진;김경준 악보"</f>
        <v>김민기 작사·작곡;조경옥,굴렁쇠아이들,홍순관 노래;신혜원,이은홍 그림;김수남,장성하 사진;김경준 악보</v>
      </c>
      <c r="E64" s="1" t="str">
        <f>"포크플러스 :왈왈"</f>
        <v>포크플러스 :왈왈</v>
      </c>
      <c r="F64" s="1" t="str">
        <f>"103 p.:천연색삽화, 악보;19 cm"</f>
        <v>103 p.:천연색삽화, 악보;19 cm</v>
      </c>
      <c r="G64" s="1"/>
    </row>
    <row r="65" spans="1:7" x14ac:dyDescent="0.3">
      <c r="A65" s="1" t="str">
        <f>"어린이도서관"</f>
        <v>어린이도서관</v>
      </c>
      <c r="B65" s="1" t="str">
        <f>"J811.8-장53ㅇ"</f>
        <v>J811.8-장53ㅇ</v>
      </c>
      <c r="C65" s="1" t="str">
        <f>"여덟 살입니다  : 장세정 동시집"</f>
        <v>여덟 살입니다  : 장세정 동시집</v>
      </c>
      <c r="D65" s="1" t="str">
        <f>"장세정 시;김순영 그림"</f>
        <v>장세정 시;김순영 그림</v>
      </c>
      <c r="E65" s="1" t="str">
        <f>"현북스"</f>
        <v>현북스</v>
      </c>
      <c r="F65" s="1" t="str">
        <f>"98 p.:천연색삽화;20 cm"</f>
        <v>98 p.:천연색삽화;20 cm</v>
      </c>
      <c r="G65" s="1"/>
    </row>
    <row r="66" spans="1:7" x14ac:dyDescent="0.3">
      <c r="A66" s="1" t="str">
        <f>"어린이도서관"</f>
        <v>어린이도서관</v>
      </c>
      <c r="B66" s="1" t="str">
        <f>"J843-그2397ㄴ"</f>
        <v>J843-그2397ㄴ</v>
      </c>
      <c r="C66" s="1" t="str">
        <f>"누가 진짜 엄마야? [그림책]"</f>
        <v>누가 진짜 엄마야? [그림책]</v>
      </c>
      <c r="D66" s="1" t="str">
        <f>"버나뎃 그린 글;애나 조벨 그림;노지양 번역"</f>
        <v>버나뎃 그린 글;애나 조벨 그림;노지양 번역</v>
      </c>
      <c r="E66" s="1" t="str">
        <f>"원더박스"</f>
        <v>원더박스</v>
      </c>
      <c r="F66" s="1" t="str">
        <f>"[34]p.:천연색삽화;29cm"</f>
        <v>[34]p.:천연색삽화;29cm</v>
      </c>
      <c r="G66" s="1"/>
    </row>
    <row r="67" spans="1:7" x14ac:dyDescent="0.3">
      <c r="A67" s="1" t="str">
        <f>"어린이도서관"</f>
        <v>어린이도서관</v>
      </c>
      <c r="B67" s="1" t="str">
        <f>"J337-양92ㅅ=2"</f>
        <v>J337-양92ㅅ=2</v>
      </c>
      <c r="C67" s="1" t="str">
        <f>"소녀소년 평등 탐구생활 : 착한 사회를 위한 양성평등 이야기"</f>
        <v>소녀소년 평등 탐구생활 : 착한 사회를 위한 양성평등 이야기</v>
      </c>
      <c r="D67" s="1" t="str">
        <f>"양해경 글;권송이 그림"</f>
        <v>양해경 글;권송이 그림</v>
      </c>
      <c r="E67" s="1" t="str">
        <f>"파란자전거"</f>
        <v>파란자전거</v>
      </c>
      <c r="F67" s="1" t="str">
        <f>"183 p.:천연색삽화;23 cm"</f>
        <v>183 p.:천연색삽화;23 cm</v>
      </c>
      <c r="G67" s="1"/>
    </row>
    <row r="68" spans="1:7" x14ac:dyDescent="0.3">
      <c r="A68" s="1" t="str">
        <f>"어린이도서관"</f>
        <v>어린이도서관</v>
      </c>
      <c r="B68" s="1" t="str">
        <f>"J104-브237ㅈ"</f>
        <v>J104-브237ㅈ</v>
      </c>
      <c r="C68" s="1" t="str">
        <f>"줄리의 그림자"</f>
        <v>줄리의 그림자</v>
      </c>
      <c r="D68" s="1" t="str">
        <f>"크리스티앙 브뤼엘 글;안 보졸렉 그림;박재연 옮김"</f>
        <v>크리스티앙 브뤼엘 글;안 보졸렉 그림;박재연 옮김</v>
      </c>
      <c r="E68" s="1" t="str">
        <f>"이마주"</f>
        <v>이마주</v>
      </c>
      <c r="F68" s="1" t="str">
        <f>"53 p.:천연색삽화;25 cm"</f>
        <v>53 p.:천연색삽화;25 cm</v>
      </c>
      <c r="G68" s="1"/>
    </row>
    <row r="69" spans="1:7" x14ac:dyDescent="0.3">
      <c r="A69" s="1" t="str">
        <f>"어린이도서관"</f>
        <v>어린이도서관</v>
      </c>
      <c r="B69" s="1" t="str">
        <f>"J813.8-이926ㅇ"</f>
        <v>J813.8-이926ㅇ</v>
      </c>
      <c r="C69" s="1" t="str">
        <f>"우리 할머니는 페미니스트"</f>
        <v>우리 할머니는 페미니스트</v>
      </c>
      <c r="D69" s="1" t="str">
        <f>"이향 글;김윤정 그림"</f>
        <v>이향 글;김윤정 그림</v>
      </c>
      <c r="E69" s="1" t="str">
        <f>"지학사아르볼"</f>
        <v>지학사아르볼</v>
      </c>
      <c r="F69" s="1" t="str">
        <f>"102 p.:천연색삽화;24 cm"</f>
        <v>102 p.:천연색삽화;24 cm</v>
      </c>
      <c r="G69" s="1"/>
    </row>
    <row r="70" spans="1:7" x14ac:dyDescent="0.3">
      <c r="A70" s="1" t="str">
        <f>"어린이도서관"</f>
        <v>어린이도서관</v>
      </c>
      <c r="B70" s="1" t="str">
        <f>"J337-구239ㅇ"</f>
        <v>J337-구239ㅇ</v>
      </c>
      <c r="C70" s="1" t="str">
        <f>"우리 여자도 할 수 있어요!"</f>
        <v>우리 여자도 할 수 있어요!</v>
      </c>
      <c r="D70" s="1" t="str">
        <f>"소피 구리옹 글;이자벨 마로제 그림;김미리 옮김"</f>
        <v>소피 구리옹 글;이자벨 마로제 그림;김미리 옮김</v>
      </c>
      <c r="E70" s="1" t="str">
        <f>"이숲"</f>
        <v>이숲</v>
      </c>
      <c r="F70" s="1" t="str">
        <f>"[46] p.:천연색삽화;27 cm"</f>
        <v>[46] p.:천연색삽화;27 cm</v>
      </c>
      <c r="G70" s="1"/>
    </row>
    <row r="71" spans="1:7" x14ac:dyDescent="0.3">
      <c r="A71" s="1" t="str">
        <f>"어린이도서관"</f>
        <v>어린이도서관</v>
      </c>
      <c r="B71" s="1" t="str">
        <f>"J337-팀848ㅇ"</f>
        <v>J337-팀848ㅇ</v>
      </c>
      <c r="C71" s="1" t="str">
        <f>"여자와 남자는 같아요"</f>
        <v>여자와 남자는 같아요</v>
      </c>
      <c r="D71" s="1" t="str">
        <f>"플란텔 팀 글;루시 구티에레스 그림;김정하 옮김"</f>
        <v>플란텔 팀 글;루시 구티에레스 그림;김정하 옮김</v>
      </c>
      <c r="E71" s="1" t="str">
        <f>"풀빛"</f>
        <v>풀빛</v>
      </c>
      <c r="F71" s="1" t="str">
        <f>"[42] p.:천연색삽화;23 cm"</f>
        <v>[42] p.:천연색삽화;23 cm</v>
      </c>
      <c r="G71" s="1"/>
    </row>
    <row r="72" spans="1:7" x14ac:dyDescent="0.3">
      <c r="A72" s="1" t="str">
        <f>"어린이도서관"</f>
        <v>어린이도서관</v>
      </c>
      <c r="B72" s="1" t="str">
        <f>"J598.55-르212ㅇ"</f>
        <v>J598.55-르212ㅇ</v>
      </c>
      <c r="C72" s="1" t="str">
        <f>"엄마 씨앗 아빠 씨앗  : 어린이 성교육 그림책"</f>
        <v>엄마 씨앗 아빠 씨앗  : 어린이 성교육 그림책</v>
      </c>
      <c r="D72" s="1" t="str">
        <f>"티에리 르냉 글;세르주 블로크 그림;권순영 옮김"</f>
        <v>티에리 르냉 글;세르주 블로크 그림;권순영 옮김</v>
      </c>
      <c r="E72" s="1" t="str">
        <f>"파랑새"</f>
        <v>파랑새</v>
      </c>
      <c r="F72" s="1" t="str">
        <f>"[32] p.:천연색삽화;27 cm"</f>
        <v>[32] p.:천연색삽화;27 cm</v>
      </c>
      <c r="G72" s="1"/>
    </row>
    <row r="73" spans="1:7" x14ac:dyDescent="0.3">
      <c r="A73" s="1" t="str">
        <f>"어린이도서관"</f>
        <v>어린이도서관</v>
      </c>
      <c r="B73" s="1" t="str">
        <f>"J342-브231ㅇ"</f>
        <v>J342-브231ㅇ</v>
      </c>
      <c r="C73" s="1" t="str">
        <f>"엄마 인권 선언"</f>
        <v>엄마 인권 선언</v>
      </c>
      <c r="D73" s="1" t="str">
        <f>"엘리자베스 브라미 글;에스텔 비용-스파뇰 그림;박정연 옮김"</f>
        <v>엘리자베스 브라미 글;에스텔 비용-스파뇰 그림;박정연 옮김</v>
      </c>
      <c r="E73" s="1" t="str">
        <f>"노란돼지"</f>
        <v>노란돼지</v>
      </c>
      <c r="F73" s="1" t="str">
        <f>"[30] p.:천연색삽화;26 cm"</f>
        <v>[30] p.:천연색삽화;26 cm</v>
      </c>
      <c r="G73" s="1"/>
    </row>
    <row r="74" spans="1:7" x14ac:dyDescent="0.3">
      <c r="A74" s="1" t="str">
        <f>"어린이도서관"</f>
        <v>어린이도서관</v>
      </c>
      <c r="B74" s="1" t="str">
        <f>"J337-뷔233ㅍ"</f>
        <v>J337-뷔233ㅍ</v>
      </c>
      <c r="C74" s="1" t="str">
        <f>"(어린이를 위한) 페미니즘"</f>
        <v>(어린이를 위한) 페미니즘</v>
      </c>
      <c r="D74" s="1" t="str">
        <f>"사싸 뷔레그렌 글;엘린 린델 그림;김아영 옮김"</f>
        <v>사싸 뷔레그렌 글;엘린 린델 그림;김아영 옮김</v>
      </c>
      <c r="E74" s="1" t="str">
        <f>"풀빛"</f>
        <v>풀빛</v>
      </c>
      <c r="F74" s="1" t="str">
        <f>"79 p.:삽화, 초상;23 cm"</f>
        <v>79 p.:삽화, 초상;23 cm</v>
      </c>
      <c r="G74" s="1"/>
    </row>
    <row r="75" spans="1:7" x14ac:dyDescent="0.3">
      <c r="A75" s="1" t="str">
        <f>"어린이도서관"</f>
        <v>어린이도서관</v>
      </c>
      <c r="B75" s="1" t="str">
        <f>"J516-퀸838ㅇ"</f>
        <v>J516-퀸838ㅇ</v>
      </c>
      <c r="C75" s="1" t="str">
        <f>"안녕 생리야  : 생리를 시작하는 친구들을 위한 생리 지식, 생리 관리, 생리 긍정 설명서"</f>
        <v>안녕 생리야  : 생리를 시작하는 친구들을 위한 생리 지식, 생리 관리, 생리 긍정 설명서</v>
      </c>
      <c r="D75" s="1" t="str">
        <f>"첼라 퀸트 글;조바나 메데이로스 그림;김정은 옮김"</f>
        <v>첼라 퀸트 글;조바나 메데이로스 그림;김정은 옮김</v>
      </c>
      <c r="E75" s="1" t="str">
        <f>"파스텔하우스"</f>
        <v>파스텔하우스</v>
      </c>
      <c r="F75" s="1" t="str">
        <f>"99 p.:천연색삽화;22 cm"</f>
        <v>99 p.:천연색삽화;22 cm</v>
      </c>
      <c r="G75" s="1"/>
    </row>
    <row r="76" spans="1:7" x14ac:dyDescent="0.3">
      <c r="A76" s="1" t="str">
        <f>"어린이도서관"</f>
        <v>어린이도서관</v>
      </c>
      <c r="B76" s="1" t="str">
        <f>"J342.1-브231ㅇ"</f>
        <v>J342.1-브231ㅇ</v>
      </c>
      <c r="C76" s="1" t="str">
        <f>"아빠 인권 선언"</f>
        <v>아빠 인권 선언</v>
      </c>
      <c r="D76" s="1" t="str">
        <f>"엘리자베스 브라미 지음;에스텔 비용-스파뇰 그림;박정연 옮김"</f>
        <v>엘리자베스 브라미 지음;에스텔 비용-스파뇰 그림;박정연 옮김</v>
      </c>
      <c r="E76" s="1" t="str">
        <f>"노란돼지"</f>
        <v>노란돼지</v>
      </c>
      <c r="F76" s="1" t="str">
        <f>"1책:천연색삽화;26cm"</f>
        <v>1책:천연색삽화;26cm</v>
      </c>
      <c r="G76" s="1"/>
    </row>
    <row r="77" spans="1:7" x14ac:dyDescent="0.3">
      <c r="A77" s="1" t="str">
        <f>"어린이도서관"</f>
        <v>어린이도서관</v>
      </c>
      <c r="B77" s="1" t="str">
        <f>"J342-브231아"</f>
        <v>J342-브231아</v>
      </c>
      <c r="C77" s="1" t="str">
        <f>"아들 인권 선언"</f>
        <v>아들 인권 선언</v>
      </c>
      <c r="D77" s="1" t="str">
        <f>"엘리자베스 브라미 글;에스텔 비용-스파뇰 그림;박정연 옮김"</f>
        <v>엘리자베스 브라미 글;에스텔 비용-스파뇰 그림;박정연 옮김</v>
      </c>
      <c r="E77" s="1" t="str">
        <f>"노란돼지"</f>
        <v>노란돼지</v>
      </c>
      <c r="F77" s="1" t="str">
        <f>"[30] p.:천연색삽화;26 cm"</f>
        <v>[30] p.:천연색삽화;26 cm</v>
      </c>
      <c r="G77" s="1"/>
    </row>
    <row r="78" spans="1:7" x14ac:dyDescent="0.3">
      <c r="A78" s="1" t="str">
        <f>"어린이도서관"</f>
        <v>어린이도서관</v>
      </c>
      <c r="B78" s="1" t="str">
        <f>"J334.225-헬238ㅅ"</f>
        <v>J334.225-헬238ㅅ</v>
      </c>
      <c r="C78" s="1" t="str">
        <f>"(창피해서 말 못하고 혼날까봐 물어보지 못한) 사춘기 내 몸 사용 설명서"</f>
        <v>(창피해서 말 못하고 혼날까봐 물어보지 못한) 사춘기 내 몸 사용 설명서</v>
      </c>
      <c r="D78" s="1" t="str">
        <f>"안트예 헬름스 글;얀 폰 홀레벤 사진;박종대 옮김"</f>
        <v>안트예 헬름스 글;얀 폰 홀레벤 사진;박종대 옮김</v>
      </c>
      <c r="E78" s="1" t="str">
        <f>"이마주"</f>
        <v>이마주</v>
      </c>
      <c r="F78" s="1" t="str">
        <f>"155 p.:사진;23 cm"</f>
        <v>155 p.:사진;23 cm</v>
      </c>
      <c r="G78" s="1"/>
    </row>
    <row r="79" spans="1:7" x14ac:dyDescent="0.3">
      <c r="A79" s="1" t="str">
        <f>"어린이도서관"</f>
        <v>어린이도서관</v>
      </c>
      <c r="B79" s="1" t="str">
        <f>"J334.225-토228ㅅ"</f>
        <v>J334.225-토228ㅅ</v>
      </c>
      <c r="C79" s="1" t="str">
        <f>"소년들을 위한 내 몸 안내서"</f>
        <v>소년들을 위한 내 몸 안내서</v>
      </c>
      <c r="D79" s="1" t="str">
        <f>"스콧 토드넘 지음;김정은 옮김"</f>
        <v>스콧 토드넘 지음;김정은 옮김</v>
      </c>
      <c r="E79" s="1" t="str">
        <f>"휴머니스트"</f>
        <v>휴머니스트</v>
      </c>
      <c r="F79" s="1" t="str">
        <f>"167 p.:천연색삽화;20 cm"</f>
        <v>167 p.:천연색삽화;20 cm</v>
      </c>
      <c r="G79" s="1"/>
    </row>
    <row r="80" spans="1:7" x14ac:dyDescent="0.3">
      <c r="A80" s="1" t="str">
        <f>"어린이도서관"</f>
        <v>어린이도서관</v>
      </c>
      <c r="B80" s="1" t="str">
        <f>"J337-윤68ㅅ"</f>
        <v>J337-윤68ㅅ</v>
      </c>
      <c r="C80" s="1" t="str">
        <f>"소녀와 소년, 멋진 사람이 되는 법"</f>
        <v>소녀와 소년, 멋진 사람이 되는 법</v>
      </c>
      <c r="D80" s="1" t="str">
        <f>"윤은주 글;이해정 그림"</f>
        <v>윤은주 글;이해정 그림</v>
      </c>
      <c r="E80" s="1" t="str">
        <f>"사계절"</f>
        <v>사계절</v>
      </c>
      <c r="F80" s="1" t="str">
        <f>"54 p.:천연색삽화;28 cm"</f>
        <v>54 p.:천연색삽화;28 cm</v>
      </c>
      <c r="G80" s="1"/>
    </row>
    <row r="81" spans="1:7" x14ac:dyDescent="0.3">
      <c r="A81" s="1" t="str">
        <f>"어린이도서관"</f>
        <v>어린이도서관</v>
      </c>
      <c r="B81" s="1" t="str">
        <f>"J511.165-테69ㅅ"</f>
        <v>J511.165-테69ㅅ</v>
      </c>
      <c r="C81" s="1" t="str">
        <f>"소녀들을 위한 내 몸 안내서"</f>
        <v>소녀들을 위한 내 몸 안내서</v>
      </c>
      <c r="D81" s="1" t="str">
        <f>"소냐 르네 테일러 지음;김정은 옮김"</f>
        <v>소냐 르네 테일러 지음;김정은 옮김</v>
      </c>
      <c r="E81" s="1" t="str">
        <f>"휴머니스트"</f>
        <v>휴머니스트</v>
      </c>
      <c r="F81" s="1" t="str">
        <f>"173 p.:천연색삽화;20 cm"</f>
        <v>173 p.:천연색삽화;20 cm</v>
      </c>
      <c r="G81" s="1"/>
    </row>
    <row r="82" spans="1:7" x14ac:dyDescent="0.3">
      <c r="A82" s="1" t="str">
        <f>"어린이도서관"</f>
        <v>어린이도서관</v>
      </c>
      <c r="B82" s="1" t="str">
        <f>"J337-정98ㅅ"</f>
        <v>J337-정98ㅅ</v>
      </c>
      <c r="C82" s="1" t="str">
        <f>"소녀, 설치고 말하고 생각하라  : 소녀들을 위한 페미니즘 입문서"</f>
        <v>소녀, 설치고 말하고 생각하라  : 소녀들을 위한 페미니즘 입문서</v>
      </c>
      <c r="D82" s="1" t="str">
        <f>"정희진,김고연주,박선영,김애라,윤이나,김홍미리,문미정,이유나,김주희,최은영,하정옥,장이정수 지음;이다 일러스트"</f>
        <v>정희진,김고연주,박선영,김애라,윤이나,김홍미리,문미정,이유나,김주희,최은영,하정옥,장이정수 지음;이다 일러스트</v>
      </c>
      <c r="E82" s="1" t="str">
        <f>"우리학교"</f>
        <v>우리학교</v>
      </c>
      <c r="F82" s="1" t="str">
        <f>"239 p.:천연색삽화;21 cm"</f>
        <v>239 p.:천연색삽화;21 cm</v>
      </c>
      <c r="G82" s="1"/>
    </row>
    <row r="83" spans="1:7" x14ac:dyDescent="0.3">
      <c r="A83" s="1" t="str">
        <f>"어린이도서관"</f>
        <v>어린이도서관</v>
      </c>
      <c r="B83" s="1" t="str">
        <f>"J334.225-윤73ㅅ"</f>
        <v>J334.225-윤73ㅅ</v>
      </c>
      <c r="C83" s="1" t="str">
        <f>"소녀×몸 교과서 : 내 몸을 알고 싶은 모든 십 대 여성에게"</f>
        <v>소녀×몸 교과서 : 내 몸을 알고 싶은 모든 십 대 여성에게</v>
      </c>
      <c r="D83" s="1" t="str">
        <f>"윤정원,김민지 [공]지음"</f>
        <v>윤정원,김민지 [공]지음</v>
      </c>
      <c r="E83" s="1" t="str">
        <f>"우리학교"</f>
        <v>우리학교</v>
      </c>
      <c r="F83" s="1" t="str">
        <f>"247 p.:삽화;21 cm"</f>
        <v>247 p.:삽화;21 cm</v>
      </c>
      <c r="G83" s="1"/>
    </row>
    <row r="84" spans="1:7" x14ac:dyDescent="0.3">
      <c r="A84" s="1" t="str">
        <f>"어린이도서관"</f>
        <v>어린이도서관</v>
      </c>
      <c r="B84" s="1" t="str">
        <f>"J332.2-막51ㅅ"</f>
        <v>J332.2-막51ㅅ</v>
      </c>
      <c r="C84" s="1" t="str">
        <f>"세상의 모든 가족"</f>
        <v>세상의 모든 가족</v>
      </c>
      <c r="D84" s="1" t="str">
        <f>"알렉산드라 막사이너 글;앙케 쿨 그림;김완균 옮김"</f>
        <v>알렉산드라 막사이너 글;앙케 쿨 그림;김완균 옮김</v>
      </c>
      <c r="E84" s="1" t="str">
        <f>"푸른숲주니어"</f>
        <v>푸른숲주니어</v>
      </c>
      <c r="F84" s="1" t="str">
        <f>"29 p.:천연색삽화;27 cm"</f>
        <v>29 p.:천연색삽화;27 cm</v>
      </c>
      <c r="G84" s="1"/>
    </row>
    <row r="85" spans="1:7" x14ac:dyDescent="0.3">
      <c r="A85" s="1" t="str">
        <f>"어린이도서관"</f>
        <v>어린이도서관</v>
      </c>
      <c r="B85" s="1" t="str">
        <f>"J337.2-김15ㅅ"</f>
        <v>J337.2-김15ㅅ</v>
      </c>
      <c r="C85" s="1" t="str">
        <f>"서연이의 페미니즘 다이어리"</f>
        <v>서연이의 페미니즘 다이어리</v>
      </c>
      <c r="D85" s="1" t="str">
        <f>"김고연주 글;김다정 그림"</f>
        <v>김고연주 글;김다정 그림</v>
      </c>
      <c r="E85" s="1" t="str">
        <f>"청어람아이"</f>
        <v>청어람아이</v>
      </c>
      <c r="F85" s="1" t="str">
        <f>"82 p.:천연색삽화;21 cm"</f>
        <v>82 p.:천연색삽화;21 cm</v>
      </c>
      <c r="G85" s="1"/>
    </row>
    <row r="86" spans="1:7" x14ac:dyDescent="0.3">
      <c r="A86" s="1" t="str">
        <f>"어린이도서관"</f>
        <v>어린이도서관</v>
      </c>
      <c r="B86" s="1" t="str">
        <f>"J998.3-긴78윈"</f>
        <v>J998.3-긴78윈</v>
      </c>
      <c r="C86" s="1" t="str">
        <f>"루스 베이더 긴즈버그  : 불평등과 싸우는 여성 대법관"</f>
        <v>루스 베이더 긴즈버그  : 불평등과 싸우는 여성 대법관</v>
      </c>
      <c r="D86" s="1" t="str">
        <f>"조너 윈터 글;스테이시 이너스트 그림;차익종 옮김"</f>
        <v>조너 윈터 글;스테이시 이너스트 그림;차익종 옮김</v>
      </c>
      <c r="E86" s="1" t="str">
        <f>"두레아이들"</f>
        <v>두레아이들</v>
      </c>
      <c r="F86" s="1" t="str">
        <f>"[1책]:천연색삽화;27cm"</f>
        <v>[1책]:천연색삽화;27cm</v>
      </c>
      <c r="G86" s="1"/>
    </row>
    <row r="87" spans="1:7" x14ac:dyDescent="0.3">
      <c r="A87" s="1" t="str">
        <f>"어린이도서관"</f>
        <v>어린이도서관</v>
      </c>
      <c r="B87" s="1" t="str">
        <f>"J342-브231ㄸ"</f>
        <v>J342-브231ㄸ</v>
      </c>
      <c r="C87" s="1" t="str">
        <f>"딸 인권 선언"</f>
        <v>딸 인권 선언</v>
      </c>
      <c r="D87" s="1" t="str">
        <f>"엘리자베스 브라미 글;에스텔 비용-스파뇰 그림;박정연 옮김"</f>
        <v>엘리자베스 브라미 글;에스텔 비용-스파뇰 그림;박정연 옮김</v>
      </c>
      <c r="E87" s="1" t="str">
        <f>"노란돼지"</f>
        <v>노란돼지</v>
      </c>
      <c r="F87" s="1" t="str">
        <f>"[30] p.:천연색삽화;26 cm"</f>
        <v>[30] p.:천연색삽화;26 cm</v>
      </c>
      <c r="G87" s="1"/>
    </row>
    <row r="88" spans="1:7" x14ac:dyDescent="0.3">
      <c r="A88" s="1" t="str">
        <f>"어린이도서관"</f>
        <v>어린이도서관</v>
      </c>
      <c r="B88" s="1" t="str">
        <f>"J598.5-스831ㄷ"</f>
        <v>J598.5-스831ㄷ</v>
      </c>
      <c r="C88" s="1" t="str">
        <f>"동의가 서툰 너에게  : 소녀와 소년을 위한 내 몸과 맘의 주인이 되는 법"</f>
        <v>동의가 서툰 너에게  : 소녀와 소년을 위한 내 몸과 맘의 주인이 되는 법</v>
      </c>
      <c r="D88" s="1" t="str">
        <f>"유미 스타인스,멜리사 캉 [공]글;제니 래섬 그림;이정희 옮김"</f>
        <v>유미 스타인스,멜리사 캉 [공]글;제니 래섬 그림;이정희 옮김</v>
      </c>
      <c r="E88" s="1" t="str">
        <f>"다산어린이 :다산북스"</f>
        <v>다산어린이 :다산북스</v>
      </c>
      <c r="F88" s="1" t="str">
        <f>"218 p.:천연색삽화;18 cm"</f>
        <v>218 p.:천연색삽화;18 cm</v>
      </c>
      <c r="G88" s="1"/>
    </row>
    <row r="89" spans="1:7" x14ac:dyDescent="0.3">
      <c r="A89" s="1" t="str">
        <f>"어린이도서관"</f>
        <v>어린이도서관</v>
      </c>
      <c r="B89" s="1" t="str">
        <f>"J337-손833ㄴ"</f>
        <v>J337-손833ㄴ</v>
      </c>
      <c r="C89" s="1" t="str">
        <f>"나의 젠더 정체성은 무엇일까?"</f>
        <v>나의 젠더 정체성은 무엇일까?</v>
      </c>
      <c r="D89" s="1" t="str">
        <f>"테레사 손 글;노아 그리그니 그림;조고은 옮김"</f>
        <v>테레사 손 글;노아 그리그니 그림;조고은 옮김</v>
      </c>
      <c r="E89" s="1" t="str">
        <f>"보물창고 :푸른책들"</f>
        <v>보물창고 :푸른책들</v>
      </c>
      <c r="F89" s="1" t="str">
        <f>"[32] p.:천연색삽화;24 x 24 cm"</f>
        <v>[32] p.:천연색삽화;24 x 24 cm</v>
      </c>
      <c r="G89" s="1"/>
    </row>
    <row r="90" spans="1:7" x14ac:dyDescent="0.3">
      <c r="A90" s="1" t="str">
        <f>"어린이도서관"</f>
        <v>어린이도서관</v>
      </c>
      <c r="B90" s="1" t="str">
        <f>"J334.225-가69ㄴ"</f>
        <v>J334.225-가69ㄴ</v>
      </c>
      <c r="C90" s="1" t="str">
        <f>"나도 엄마 배 속에 있었어요?"</f>
        <v>나도 엄마 배 속에 있었어요?</v>
      </c>
      <c r="D90" s="1" t="str">
        <f>"다그마 가이슬러 글·그림;김시형 옮김"</f>
        <v>다그마 가이슬러 글·그림;김시형 옮김</v>
      </c>
      <c r="E90" s="1" t="str">
        <f>"풀빛"</f>
        <v>풀빛</v>
      </c>
      <c r="F90" s="1" t="str">
        <f>"[1책]:천연색삽화;28 cm"</f>
        <v>[1책]:천연색삽화;28 cm</v>
      </c>
      <c r="G90" s="1"/>
    </row>
    <row r="91" spans="1:7" x14ac:dyDescent="0.3">
      <c r="A91" s="1" t="str">
        <f>"어린이도서관"</f>
        <v>어린이도서관</v>
      </c>
      <c r="B91" s="1" t="str">
        <f>"J337-말39ㄴ=3"</f>
        <v>J337-말39ㄴ=3</v>
      </c>
      <c r="C91" s="1" t="str">
        <f>"나다운 게 뭐야?  : 처음 만나는 젠더 이야기"</f>
        <v>나다운 게 뭐야?  : 처음 만나는 젠더 이야기</v>
      </c>
      <c r="D91" s="1" t="str">
        <f>"미리옹 말 글·그림;김자연 옮김"</f>
        <v>미리옹 말 글·그림;김자연 옮김</v>
      </c>
      <c r="E91" s="1" t="str">
        <f>"라임"</f>
        <v>라임</v>
      </c>
      <c r="F91" s="1" t="str">
        <f>"40 p.:천연색삽화;29 cm"</f>
        <v>40 p.:천연색삽화;29 cm</v>
      </c>
      <c r="G91" s="1"/>
    </row>
    <row r="92" spans="1:7" x14ac:dyDescent="0.3">
      <c r="A92" s="1" t="str">
        <f>"어린이도서관"</f>
        <v>어린이도서관</v>
      </c>
      <c r="B92" s="1" t="str">
        <f>"J372.47-이221ㄱ"</f>
        <v>J372.47-이221ㄱ</v>
      </c>
      <c r="C92" s="1" t="str">
        <f>"Girls' Talk : 사춘기라면서 정작 말해 주지 않는 것들"</f>
        <v>Girls' Talk : 사춘기라면서 정작 말해 주지 않는 것들</v>
      </c>
      <c r="D92" s="1" t="str">
        <f>"이다 글·그림"</f>
        <v>이다 글·그림</v>
      </c>
      <c r="E92" s="1" t="str">
        <f>"시공주니어"</f>
        <v>시공주니어</v>
      </c>
      <c r="F92" s="1" t="str">
        <f>"137 p.:삽화;22 cm"</f>
        <v>137 p.:삽화;22 cm</v>
      </c>
      <c r="G92" s="1"/>
    </row>
    <row r="93" spans="1:7" x14ac:dyDescent="0.3">
      <c r="A93" s="1" t="str">
        <f>"어린이도서관"</f>
        <v>어린이도서관</v>
      </c>
      <c r="B93" s="1" t="str">
        <f>"J598.5-코64사"</f>
        <v>J598.5-코64사</v>
      </c>
      <c r="C93" s="1" t="str">
        <f>"사춘기 때 꼭 필요한 성 지식  : for girl"</f>
        <v>사춘기 때 꼭 필요한 성 지식  : for girl</v>
      </c>
      <c r="D93" s="1" t="str">
        <f>"엘렌 코옌 지음;박진희 옮김"</f>
        <v>엘렌 코옌 지음;박진희 옮김</v>
      </c>
      <c r="E93" s="1" t="str">
        <f>"생각의집"</f>
        <v>생각의집</v>
      </c>
      <c r="F93" s="1" t="str">
        <f>"118 p.:천연색삽화;23 cm"</f>
        <v>118 p.:천연색삽화;23 cm</v>
      </c>
      <c r="G93" s="1"/>
    </row>
    <row r="94" spans="1:7" x14ac:dyDescent="0.3">
      <c r="A94" s="1" t="str">
        <f>"어린이도서관"</f>
        <v>어린이도서관</v>
      </c>
      <c r="B94" s="1" t="str">
        <f>"J334.22-인11ㅅ"</f>
        <v>J334.22-인11ㅅ</v>
      </c>
      <c r="C94" s="1" t="str">
        <f>"성교육 상식사전 : 행복한 사춘기를 위한 넓고 깊은 성 지식"</f>
        <v>성교육 상식사전 : 행복한 사춘기를 위한 넓고 깊은 성 지식</v>
      </c>
      <c r="D94" s="1" t="str">
        <f>"인간과 성 교육연구소 지음;다카야나기 미치코 엮음;남도윤 그림;김정화 옮김"</f>
        <v>인간과 성 교육연구소 지음;다카야나기 미치코 엮음;남도윤 그림;김정화 옮김</v>
      </c>
      <c r="E94" s="1" t="str">
        <f>"길벗스쿨"</f>
        <v>길벗스쿨</v>
      </c>
      <c r="F94" s="1" t="str">
        <f>"119p:천연색삽화;26cm"</f>
        <v>119p:천연색삽화;26cm</v>
      </c>
      <c r="G94" s="1"/>
    </row>
    <row r="95" spans="1:7" x14ac:dyDescent="0.3">
      <c r="A95" s="1" t="str">
        <f>"어린이도서관"</f>
        <v>어린이도서관</v>
      </c>
      <c r="B95" s="1" t="str">
        <f>"J516.41-스831ㅅ"</f>
        <v>J516.41-스831ㅅ</v>
      </c>
      <c r="C95" s="1" t="str">
        <f>"생리를 시작한 너에게 : 소녀들을 위한 솔직하고 유쾌한 생리 안내서"</f>
        <v>생리를 시작한 너에게 : 소녀들을 위한 솔직하고 유쾌한 생리 안내서</v>
      </c>
      <c r="D95" s="1" t="str">
        <f>"유미 스타인스,멜리사 캉 [공]글;제니 래섬 그림;김선희 옮김"</f>
        <v>유미 스타인스,멜리사 캉 [공]글;제니 래섬 그림;김선희 옮김</v>
      </c>
      <c r="E95" s="1" t="str">
        <f>"다산어린이:스튜디오다산"</f>
        <v>다산어린이:스튜디오다산</v>
      </c>
      <c r="F95" s="1" t="str">
        <f>"173 p.:천연색삽화;18 cm"</f>
        <v>173 p.:천연색삽화;18 cm</v>
      </c>
      <c r="G95" s="1"/>
    </row>
    <row r="96" spans="1:7" x14ac:dyDescent="0.3">
      <c r="A96" s="1" t="str">
        <f>"어린이도서관"</f>
        <v>어린이도서관</v>
      </c>
      <c r="B96" s="1" t="str">
        <f>"J598.55-자35ㅃ"</f>
        <v>J598.55-자35ㅃ</v>
      </c>
      <c r="C96" s="1" t="str">
        <f>"빨강은 아름다워"</f>
        <v>빨강은 아름다워</v>
      </c>
      <c r="D96" s="1" t="str">
        <f>"루시아 자몰로 글·그림;김경연 옮김"</f>
        <v>루시아 자몰로 글·그림;김경연 옮김</v>
      </c>
      <c r="E96" s="1" t="str">
        <f>"사계절"</f>
        <v>사계절</v>
      </c>
      <c r="F96" s="1" t="str">
        <f>"93 p.:천연색삽화;24 cm"</f>
        <v>93 p.:천연색삽화;24 cm</v>
      </c>
      <c r="G96" s="1"/>
    </row>
    <row r="97" spans="1:7" x14ac:dyDescent="0.3">
      <c r="A97" s="1" t="str">
        <f>"어린이도서관"</f>
        <v>어린이도서관</v>
      </c>
      <c r="B97" s="1" t="str">
        <f>"J843-콜42ㄸ"</f>
        <v>J843-콜42ㄸ</v>
      </c>
      <c r="C97" s="1" t="str">
        <f>"따로 따로 행복하게"</f>
        <v>따로 따로 행복하게</v>
      </c>
      <c r="D97" s="1" t="str">
        <f>"배빗 콜 지음;고정아 옮김"</f>
        <v>배빗 콜 지음;고정아 옮김</v>
      </c>
      <c r="E97" s="1" t="str">
        <f>"보림"</f>
        <v>보림</v>
      </c>
      <c r="F97" s="1" t="str">
        <f>"30 p.:천연색삽화;25 cm"</f>
        <v>30 p.:천연색삽화;25 cm</v>
      </c>
      <c r="G97" s="1"/>
    </row>
    <row r="98" spans="1:7" x14ac:dyDescent="0.3">
      <c r="A98" s="1" t="str">
        <f>"어린이도서관"</f>
        <v>어린이도서관</v>
      </c>
      <c r="B98" s="1" t="str">
        <f>"J811.8-김12ㄷ"</f>
        <v>J811.8-김12ㄷ</v>
      </c>
      <c r="C98" s="1" t="str">
        <f>"드라큘라의 시"</f>
        <v>드라큘라의 시</v>
      </c>
      <c r="D98" s="1" t="str">
        <f>"김개미 시;경자 그림"</f>
        <v>김개미 시;경자 그림</v>
      </c>
      <c r="E98" s="1" t="str">
        <f>"천개의바람"</f>
        <v>천개의바람</v>
      </c>
      <c r="F98" s="1" t="str">
        <f>"102 p.:삽화;22 cm"</f>
        <v>102 p.:삽화;22 cm</v>
      </c>
      <c r="G98" s="1"/>
    </row>
    <row r="99" spans="1:7" x14ac:dyDescent="0.3">
      <c r="A99" s="1" t="str">
        <f>"어린이도서관"</f>
        <v>어린이도서관</v>
      </c>
      <c r="B99" s="1" t="str">
        <f>"J813.8-손67ㅇ-4"</f>
        <v>J813.8-손67ㅇ-4</v>
      </c>
      <c r="C99" s="1" t="str">
        <f>"위풍당당 여우 꼬리. 4, 붉은 여우의 속삭임"</f>
        <v>위풍당당 여우 꼬리. 4, 붉은 여우의 속삭임</v>
      </c>
      <c r="D99" s="1" t="str">
        <f>"손원평 글;만물상 그림"</f>
        <v>손원평 글;만물상 그림</v>
      </c>
      <c r="E99" s="1" t="str">
        <f>"창비"</f>
        <v>창비</v>
      </c>
      <c r="F99" s="1" t="str">
        <f>"163 p.:천연색삽화;20 cm"</f>
        <v>163 p.:천연색삽화;20 cm</v>
      </c>
      <c r="G99" s="1"/>
    </row>
    <row r="100" spans="1:7" x14ac:dyDescent="0.3">
      <c r="A100" s="1" t="str">
        <f>"어린이도서관"</f>
        <v>어린이도서관</v>
      </c>
      <c r="B100" s="1" t="str">
        <f>"J813.8-손67ㅇ-2"</f>
        <v>J813.8-손67ㅇ-2</v>
      </c>
      <c r="C100" s="1" t="str">
        <f>"위풍당당 여우 꼬리. 2, 알쏭달쏭 우정 테스트"</f>
        <v>위풍당당 여우 꼬리. 2, 알쏭달쏭 우정 테스트</v>
      </c>
      <c r="D100" s="1" t="str">
        <f>"손원평 글;만물상 그림"</f>
        <v>손원평 글;만물상 그림</v>
      </c>
      <c r="E100" s="1" t="str">
        <f>"창비"</f>
        <v>창비</v>
      </c>
      <c r="F100" s="1" t="str">
        <f>"160 p.:천연색삽화;20 cm"</f>
        <v>160 p.:천연색삽화;20 cm</v>
      </c>
      <c r="G100" s="1"/>
    </row>
    <row r="101" spans="1:7" x14ac:dyDescent="0.3">
      <c r="A101" s="1" t="str">
        <f>"어린이도서관"</f>
        <v>어린이도서관</v>
      </c>
      <c r="B101" s="1" t="str">
        <f>"J813.8-신211ㅇ"</f>
        <v>J813.8-신211ㅇ</v>
      </c>
      <c r="C101" s="1" t="str">
        <f>"오싹한 내 친구 [그림책]"</f>
        <v>오싹한 내 친구 [그림책]</v>
      </c>
      <c r="D101" s="1" t="str">
        <f>"신나라 지음"</f>
        <v>신나라 지음</v>
      </c>
      <c r="E101" s="1" t="str">
        <f>"창비교육"</f>
        <v>창비교육</v>
      </c>
      <c r="F101" s="1" t="str">
        <f>"36 p.:삽화;30 cm"</f>
        <v>36 p.:삽화;30 cm</v>
      </c>
      <c r="G101" s="1"/>
    </row>
    <row r="102" spans="1:7" x14ac:dyDescent="0.3">
      <c r="A102" s="1" t="str">
        <f>"어린이도서관"</f>
        <v>어린이도서관</v>
      </c>
      <c r="B102" s="1" t="str">
        <f>"J843-루828ㅍ"</f>
        <v>J843-루828ㅍ</v>
      </c>
      <c r="C102" s="1" t="str">
        <f>"프리워터 : 자유를 찾는 모든 이들의 꿈"</f>
        <v>프리워터 : 자유를 찾는 모든 이들의 꿈</v>
      </c>
      <c r="D102" s="1" t="str">
        <f>"아미나 루크먼 도슨 글;이원경 옮김"</f>
        <v>아미나 루크먼 도슨 글;이원경 옮김</v>
      </c>
      <c r="E102" s="1" t="str">
        <f>"밝은미래"</f>
        <v>밝은미래</v>
      </c>
      <c r="F102" s="1" t="str">
        <f>"486 p.;21 cm"</f>
        <v>486 p.;21 cm</v>
      </c>
      <c r="G102" s="1"/>
    </row>
    <row r="103" spans="1:7" x14ac:dyDescent="0.3">
      <c r="A103" s="1" t="str">
        <f>"어린이도서관"</f>
        <v>어린이도서관</v>
      </c>
      <c r="B103" s="1" t="str">
        <f>"J813.8-김53623ㅇ"</f>
        <v>J813.8-김53623ㅇ</v>
      </c>
      <c r="C103" s="1" t="str">
        <f>"여름의 루돌프"</f>
        <v>여름의 루돌프</v>
      </c>
      <c r="D103" s="1" t="str">
        <f>"김성라 글·그림"</f>
        <v>김성라 글·그림</v>
      </c>
      <c r="E103" s="1" t="str">
        <f>"사계절"</f>
        <v>사계절</v>
      </c>
      <c r="F103" s="1" t="str">
        <f>"80 p.:천연색삽화;25 cm"</f>
        <v>80 p.:천연색삽화;25 cm</v>
      </c>
      <c r="G103" s="1"/>
    </row>
    <row r="104" spans="1:7" x14ac:dyDescent="0.3">
      <c r="A104" s="1" t="str">
        <f>"어린이도서관"</f>
        <v>어린이도서관</v>
      </c>
      <c r="B104" s="1" t="str">
        <f>"J809-김64ㄱ-1"</f>
        <v>J809-김64ㄱ-1</v>
      </c>
      <c r="C104" s="1" t="str">
        <f>"김영하의 세계문학 원정대. 1, 셜록 홈즈의 모험"</f>
        <v>김영하의 세계문학 원정대. 1, 셜록 홈즈의 모험</v>
      </c>
      <c r="D104" s="1" t="str">
        <f>"김영하 기획 및 해설;김난영 스토리;박성일 그림;김지혜 정보글"</f>
        <v>김영하 기획 및 해설;김난영 스토리;박성일 그림;김지혜 정보글</v>
      </c>
      <c r="E104" s="1" t="str">
        <f>"주니어김영사 :김영사"</f>
        <v>주니어김영사 :김영사</v>
      </c>
      <c r="F104" s="1" t="str">
        <f>"180 p.:전부천연색삽화, 초상;26 cm"</f>
        <v>180 p.:전부천연색삽화, 초상;26 cm</v>
      </c>
      <c r="G104" s="1"/>
    </row>
    <row r="105" spans="1:7" x14ac:dyDescent="0.3">
      <c r="A105" s="1" t="str">
        <f>"어린이도서관"</f>
        <v>어린이도서관</v>
      </c>
      <c r="B105" s="1" t="str">
        <f>"J843-살231ㅎ"</f>
        <v>J843-살231ㅎ</v>
      </c>
      <c r="C105" s="1" t="str">
        <f>"핫 도그 [그림책]"</f>
        <v>핫 도그 [그림책]</v>
      </c>
      <c r="D105" s="1" t="str">
        <f>"더그 살라티 글·그림;신형건 옮김"</f>
        <v>더그 살라티 글·그림;신형건 옮김</v>
      </c>
      <c r="E105" s="1" t="str">
        <f>"보물창고 :푸른책들"</f>
        <v>보물창고 :푸른책들</v>
      </c>
      <c r="F105" s="1" t="str">
        <f>"[38] p.:천연색삽화;27 cm"</f>
        <v>[38] p.:천연색삽화;27 cm</v>
      </c>
      <c r="G105" s="1"/>
    </row>
    <row r="106" spans="1:7" x14ac:dyDescent="0.3">
      <c r="A106" s="1" t="str">
        <f>"어린이도서관"</f>
        <v>어린이도서관</v>
      </c>
      <c r="B106" s="1" t="str">
        <f>"J813.8-김948ㄱ"</f>
        <v>J813.8-김948ㄱ</v>
      </c>
      <c r="C106" s="1" t="str">
        <f>"가느다란 마법사와 아주 착한 타파하 : 김혜진 창작동화"</f>
        <v>가느다란 마법사와 아주 착한 타파하 : 김혜진 창작동화</v>
      </c>
      <c r="D106" s="1" t="str">
        <f>"김혜진 지음;모차 그림"</f>
        <v>김혜진 지음;모차 그림</v>
      </c>
      <c r="E106" s="1" t="str">
        <f>"사계절"</f>
        <v>사계절</v>
      </c>
      <c r="F106" s="1" t="str">
        <f>"172 p.:천연색삽화;21 cm"</f>
        <v>172 p.:천연색삽화;21 cm</v>
      </c>
      <c r="G106" s="1"/>
    </row>
    <row r="107" spans="1:7" x14ac:dyDescent="0.3">
      <c r="A107" s="1" t="str">
        <f>"어린이도서관"</f>
        <v>어린이도서관</v>
      </c>
      <c r="B107" s="1" t="str">
        <f>"J843-이239ㅎ"</f>
        <v>J843-이239ㅎ</v>
      </c>
      <c r="C107" s="1" t="str">
        <f>"황금성  :  백 년이 넘은 식당"</f>
        <v>황금성  :  백 년이 넘은 식당</v>
      </c>
      <c r="D107" s="1" t="str">
        <f>"리사 이 지음,송섬별 옮김"</f>
        <v>리사 이 지음,송섬별 옮김</v>
      </c>
      <c r="E107" s="1" t="str">
        <f>"위즈덤하우스"</f>
        <v>위즈덤하우스</v>
      </c>
      <c r="F107" s="1" t="str">
        <f>"363 p.;21 cm"</f>
        <v>363 p.;21 cm</v>
      </c>
      <c r="G107" s="1"/>
    </row>
    <row r="108" spans="1:7" x14ac:dyDescent="0.3">
      <c r="A108" s="1" t="str">
        <f>"어린이도서관"</f>
        <v>어린이도서관</v>
      </c>
      <c r="B108" s="1" t="str">
        <f>"J813.8-김792ㅎ"</f>
        <v>J813.8-김792ㅎ</v>
      </c>
      <c r="C108" s="1" t="str">
        <f>"호랭면 [그림책]"</f>
        <v>호랭면 [그림책]</v>
      </c>
      <c r="D108" s="1" t="str">
        <f>"김지안 지음"</f>
        <v>김지안 지음</v>
      </c>
      <c r="E108" s="1" t="str">
        <f>"미디어창비"</f>
        <v>미디어창비</v>
      </c>
      <c r="F108" s="1" t="str">
        <f>"[56] p.:삽화;25 cm"</f>
        <v>[56] p.:삽화;25 cm</v>
      </c>
      <c r="G108" s="1"/>
    </row>
    <row r="109" spans="1:7" x14ac:dyDescent="0.3">
      <c r="A109" s="1" t="str">
        <f>"어린이도서관"</f>
        <v>어린이도서관</v>
      </c>
      <c r="B109" s="1" t="str">
        <f>"J813.8-이4721ㄱ"</f>
        <v>J813.8-이4721ㄱ</v>
      </c>
      <c r="C109" s="1" t="str">
        <f>"(연두와 푸름이의) 기묘한 여름 캠프"</f>
        <v>(연두와 푸름이의) 기묘한 여름 캠프</v>
      </c>
      <c r="D109" s="1" t="str">
        <f>"이분희 글;차상미 그림"</f>
        <v>이분희 글;차상미 그림</v>
      </c>
      <c r="E109" s="1" t="str">
        <f>"주니어김영사:김영사"</f>
        <v>주니어김영사:김영사</v>
      </c>
      <c r="F109" s="1" t="str">
        <f>"175 p.:천연색삽화;21 cm"</f>
        <v>175 p.:천연색삽화;21 cm</v>
      </c>
      <c r="G109" s="1"/>
    </row>
    <row r="110" spans="1:7" x14ac:dyDescent="0.3">
      <c r="A110" s="1" t="str">
        <f>"어린이도서관"</f>
        <v>어린이도서관</v>
      </c>
      <c r="B110" s="1" t="str">
        <f>"J813.8-서677ㄴ"</f>
        <v>J813.8-서677ㄴ</v>
      </c>
      <c r="C110" s="1" t="str">
        <f>"네가 되는 꿈 [그림책]"</f>
        <v>네가 되는 꿈 [그림책]</v>
      </c>
      <c r="D110" s="1" t="str">
        <f>"서유진 글·그림"</f>
        <v>서유진 글·그림</v>
      </c>
      <c r="E110" s="1" t="str">
        <f>"브와포레"</f>
        <v>브와포레</v>
      </c>
      <c r="F110" s="1" t="str">
        <f>"[48] p.:천연색삽화;27 cm"</f>
        <v>[48] p.:천연색삽화;27 cm</v>
      </c>
      <c r="G110" s="1"/>
    </row>
    <row r="111" spans="1:7" x14ac:dyDescent="0.3">
      <c r="A111" s="1" t="str">
        <f>"어린이도서관"</f>
        <v>어린이도서관</v>
      </c>
      <c r="B111" s="1" t="str">
        <f>"J813.8-고729ㅇ"</f>
        <v>J813.8-고729ㅇ</v>
      </c>
      <c r="C111" s="1" t="str">
        <f>"우리 다시 만나요  : 고재현 장편동화"</f>
        <v>우리 다시 만나요  : 고재현 장편동화</v>
      </c>
      <c r="D111" s="1" t="str">
        <f>"고재현 지음;김민지 그림"</f>
        <v>고재현 지음;김민지 그림</v>
      </c>
      <c r="E111" s="1" t="str">
        <f>"별숲"</f>
        <v>별숲</v>
      </c>
      <c r="F111" s="1" t="str">
        <f>"160 p.:천연색삽화;23 cm"</f>
        <v>160 p.:천연색삽화;23 cm</v>
      </c>
      <c r="G111" s="1"/>
    </row>
    <row r="112" spans="1:7" x14ac:dyDescent="0.3">
      <c r="A112" s="1" t="str">
        <f>"어린이도서관"</f>
        <v>어린이도서관</v>
      </c>
      <c r="B112" s="1" t="str">
        <f>"J813.8-윤58ㄷ-1"</f>
        <v>J813.8-윤58ㄷ-1</v>
      </c>
      <c r="C112" s="1" t="str">
        <f>"(말하지 않아도 내 마음을 아는) 도깨비 언니. 1, 수상한 공부방과 돈 나무"</f>
        <v>(말하지 않아도 내 마음을 아는) 도깨비 언니. 1, 수상한 공부방과 돈 나무</v>
      </c>
      <c r="D112" s="1" t="str">
        <f>"윤슬 글;코끼리씨 그림"</f>
        <v>윤슬 글;코끼리씨 그림</v>
      </c>
      <c r="E112" s="1" t="str">
        <f>"프롬아이 :프롬비"</f>
        <v>프롬아이 :프롬비</v>
      </c>
      <c r="F112" s="1" t="str">
        <f>"118 p.:천연색삽화;23 cm"</f>
        <v>118 p.:천연색삽화;23 cm</v>
      </c>
      <c r="G112" s="1"/>
    </row>
    <row r="113" spans="1:7" x14ac:dyDescent="0.3">
      <c r="A113" s="1" t="str">
        <f>"어린이도서관"</f>
        <v>어린이도서관</v>
      </c>
      <c r="B113" s="1" t="str">
        <f>"J813.8-김591ㄱ"</f>
        <v>J813.8-김591ㄱ</v>
      </c>
      <c r="C113" s="1" t="str">
        <f>"감염 동물"</f>
        <v>감염 동물</v>
      </c>
      <c r="D113" s="1" t="str">
        <f>"김시경 지음;장선환 그림"</f>
        <v>김시경 지음;장선환 그림</v>
      </c>
      <c r="E113" s="1" t="str">
        <f>"위즈덤하우스"</f>
        <v>위즈덤하우스</v>
      </c>
      <c r="F113" s="1" t="str">
        <f>"168 p.:삽화;23 cm"</f>
        <v>168 p.:삽화;23 cm</v>
      </c>
      <c r="G113" s="1"/>
    </row>
    <row r="114" spans="1:7" x14ac:dyDescent="0.3">
      <c r="A114" s="1" t="str">
        <f>"어린이도서관"</f>
        <v>어린이도서관</v>
      </c>
      <c r="B114" s="1" t="str">
        <f>"J029.1-이94ㅇ"</f>
        <v>J029.1-이94ㅇ</v>
      </c>
      <c r="C114" s="1" t="str">
        <f>"어린이 마음 약국 : 마음을 치유하는 그림책 처방전"</f>
        <v>어린이 마음 약국 : 마음을 치유하는 그림책 처방전</v>
      </c>
      <c r="D114" s="1" t="str">
        <f>"이현아 지음;소복이 그림"</f>
        <v>이현아 지음;소복이 그림</v>
      </c>
      <c r="E114" s="1" t="str">
        <f>"창비교육"</f>
        <v>창비교육</v>
      </c>
      <c r="F114" s="1" t="str">
        <f>"207 p.:삽화;21 cm"</f>
        <v>207 p.:삽화;21 cm</v>
      </c>
      <c r="G114" s="1"/>
    </row>
    <row r="115" spans="1:7" x14ac:dyDescent="0.3">
      <c r="A115" s="1" t="str">
        <f>"어린이도서관"</f>
        <v>어린이도서관</v>
      </c>
      <c r="B115" s="1" t="str">
        <f>"J813.8-최39ㅂ"</f>
        <v>J813.8-최39ㅂ</v>
      </c>
      <c r="C115" s="1" t="str">
        <f>"벽 타는 아이 [그림책]"</f>
        <v>벽 타는 아이 [그림책]</v>
      </c>
      <c r="D115" s="1" t="str">
        <f>"최민지 지음"</f>
        <v>최민지 지음</v>
      </c>
      <c r="E115" s="1" t="str">
        <f>"모든요일그림책"</f>
        <v>모든요일그림책</v>
      </c>
      <c r="F115" s="1" t="str">
        <f>"56 p.:천연색삽화;22 cm"</f>
        <v>56 p.:천연색삽화;22 cm</v>
      </c>
      <c r="G115" s="1"/>
    </row>
    <row r="116" spans="1:7" x14ac:dyDescent="0.3">
      <c r="A116" s="1" t="str">
        <f>"어린이도서관"</f>
        <v>어린이도서관</v>
      </c>
      <c r="B116" s="1" t="str">
        <f>"J813.8-홍39ㅅ"</f>
        <v>J813.8-홍39ㅅ</v>
      </c>
      <c r="C116" s="1" t="str">
        <f>"스티커 도깨비 무지 막지"</f>
        <v>스티커 도깨비 무지 막지</v>
      </c>
      <c r="D116" s="1" t="str">
        <f>"홍민정 지음;하민석 그림"</f>
        <v>홍민정 지음;하민석 그림</v>
      </c>
      <c r="E116" s="1" t="str">
        <f>"주니어김영사"</f>
        <v>주니어김영사</v>
      </c>
      <c r="F116" s="1" t="str">
        <f>"88 p.:천연색삽화;23 cm"</f>
        <v>88 p.:천연색삽화;23 cm</v>
      </c>
      <c r="G116" s="1"/>
    </row>
    <row r="117" spans="1:7" x14ac:dyDescent="0.3">
      <c r="A117" s="1" t="str">
        <f>"어린이도서관"</f>
        <v>어린이도서관</v>
      </c>
      <c r="B117" s="1" t="str">
        <f>"J813.8-신675ㄴ"</f>
        <v>J813.8-신675ㄴ</v>
      </c>
      <c r="C117" s="1" t="str">
        <f>"내 머리에는 딱따구리가 산다  : 신윤화 동화집"</f>
        <v>내 머리에는 딱따구리가 산다  : 신윤화 동화집</v>
      </c>
      <c r="D117" s="1" t="str">
        <f>"신윤화 글;한아름 그림"</f>
        <v>신윤화 글;한아름 그림</v>
      </c>
      <c r="E117" s="1" t="str">
        <f>"마루비"</f>
        <v>마루비</v>
      </c>
      <c r="F117" s="1" t="str">
        <f>"120 p.:천연색삽화;22 cm"</f>
        <v>120 p.:천연색삽화;22 cm</v>
      </c>
      <c r="G117" s="1"/>
    </row>
    <row r="118" spans="1:7" x14ac:dyDescent="0.3">
      <c r="A118" s="1" t="str">
        <f>"어린이도서관"</f>
        <v>어린이도서관</v>
      </c>
      <c r="B118" s="1" t="str">
        <f>"J813.8-손77ㅊ"</f>
        <v>J813.8-손77ㅊ</v>
      </c>
      <c r="C118" s="1" t="str">
        <f>"창경궁에 꽃범이 산다"</f>
        <v>창경궁에 꽃범이 산다</v>
      </c>
      <c r="D118" s="1" t="str">
        <f>"손주현 글;최정인 그림"</f>
        <v>손주현 글;최정인 그림</v>
      </c>
      <c r="E118" s="1" t="str">
        <f>"휴먼어린이"</f>
        <v>휴먼어린이</v>
      </c>
      <c r="F118" s="1" t="str">
        <f>"122 p.:천연색삽화;23 cm"</f>
        <v>122 p.:천연색삽화;23 cm</v>
      </c>
      <c r="G118" s="1"/>
    </row>
    <row r="119" spans="1:7" x14ac:dyDescent="0.3">
      <c r="A119" s="1" t="str">
        <f>"어린이도서관"</f>
        <v>어린이도서관</v>
      </c>
      <c r="B119" s="1" t="str">
        <f>"J813.8-박53ㅂ-1"</f>
        <v>J813.8-박53ㅂ-1</v>
      </c>
      <c r="C119" s="1" t="str">
        <f>"비밀요원 레너드. 1, 옷장 속 괴물 부기맨이 나타났다!"</f>
        <v>비밀요원 레너드. 1, 옷장 속 괴물 부기맨이 나타났다!</v>
      </c>
      <c r="D119" s="1" t="str">
        <f>"박설연 지음;김덕영 그림"</f>
        <v>박설연 지음;김덕영 그림</v>
      </c>
      <c r="E119" s="1" t="str">
        <f>"아울북 :북이십일"</f>
        <v>아울북 :북이십일</v>
      </c>
      <c r="F119" s="1" t="str">
        <f>"94 p.:천연색삽화;22 cm"</f>
        <v>94 p.:천연색삽화;22 cm</v>
      </c>
      <c r="G119" s="1"/>
    </row>
    <row r="120" spans="1:7" x14ac:dyDescent="0.3">
      <c r="A120" s="1" t="str">
        <f>"어린이도서관"</f>
        <v>어린이도서관</v>
      </c>
      <c r="B120" s="1" t="str">
        <f>"J813.8-홍39ㅂ-4"</f>
        <v>J813.8-홍39ㅂ-4</v>
      </c>
      <c r="C120" s="1" t="str">
        <f>"(낭만 강아지)봉봉. 4, 부러진 이빨 사건"</f>
        <v>(낭만 강아지)봉봉. 4, 부러진 이빨 사건</v>
      </c>
      <c r="D120" s="1" t="str">
        <f>"홍민정 글;김무연 그림"</f>
        <v>홍민정 글;김무연 그림</v>
      </c>
      <c r="E120" s="1" t="str">
        <f>"다산어린이"</f>
        <v>다산어린이</v>
      </c>
      <c r="F120" s="1" t="str">
        <f>"108 p.:천연색삽화;21 cm"</f>
        <v>108 p.:천연색삽화;21 cm</v>
      </c>
      <c r="G120" s="1"/>
    </row>
    <row r="121" spans="1:7" x14ac:dyDescent="0.3">
      <c r="A121" s="1" t="str">
        <f>"어린이도서관"</f>
        <v>어린이도서관</v>
      </c>
      <c r="B121" s="1" t="str">
        <f>"J909-한211ㅇ-1"</f>
        <v>J909-한211ㅇ-1</v>
      </c>
      <c r="C121" s="1" t="str">
        <f>"(읽으면서 바로 써먹는) 어린이 세계사 퀴즈. 1"</f>
        <v>(읽으면서 바로 써먹는) 어린이 세계사 퀴즈. 1</v>
      </c>
      <c r="D121" s="1" t="str">
        <f>"한날 글·그림"</f>
        <v>한날 글·그림</v>
      </c>
      <c r="E121" s="1" t="str">
        <f>"파란정원"</f>
        <v>파란정원</v>
      </c>
      <c r="F121" s="1" t="str">
        <f>"229 p.:전부천연색삽화;19 cm"</f>
        <v>229 p.:전부천연색삽화;19 cm</v>
      </c>
      <c r="G121" s="1"/>
    </row>
    <row r="122" spans="1:7" x14ac:dyDescent="0.3">
      <c r="A122" s="1" t="str">
        <f>"어린이도서관"</f>
        <v>어린이도서관</v>
      </c>
      <c r="B122" s="1" t="str">
        <f>"J400-신832ㄴ-18"</f>
        <v>J400-신832ㄴ-18</v>
      </c>
      <c r="C122" s="1" t="str">
        <f>"놓지 마 과학!. 18, 악마견의 숨겨진 진실"</f>
        <v>놓지 마 과학!. 18, 악마견의 숨겨진 진실</v>
      </c>
      <c r="D122" s="1" t="str">
        <f>"신태훈,나승훈 [공]글·그림"</f>
        <v>신태훈,나승훈 [공]글·그림</v>
      </c>
      <c r="E122" s="1" t="str">
        <f>"위즈덤하우스"</f>
        <v>위즈덤하우스</v>
      </c>
      <c r="F122" s="1" t="str">
        <f>"200 p.:전부천연색삽화;25 cm"</f>
        <v>200 p.:전부천연색삽화;25 cm</v>
      </c>
      <c r="G122" s="1"/>
    </row>
    <row r="123" spans="1:7" x14ac:dyDescent="0.3">
      <c r="A123" s="1" t="str">
        <f>"어린이도서관"</f>
        <v>어린이도서관</v>
      </c>
      <c r="B123" s="1" t="str">
        <f>"J388.6-흔91ㅅ-3"</f>
        <v>J388.6-흔91ㅅ-3</v>
      </c>
      <c r="C123" s="1" t="str">
        <f>"(흔한남매)수수께끼 어드벤처. 3"</f>
        <v>(흔한남매)수수께끼 어드벤처. 3</v>
      </c>
      <c r="D123" s="1" t="str">
        <f>"흔한남매 원작;노지영 글;도니패밀리 그림"</f>
        <v>흔한남매 원작;노지영 글;도니패밀리 그림</v>
      </c>
      <c r="E123" s="1" t="str">
        <f>"미래엔:아이세움"</f>
        <v>미래엔:아이세움</v>
      </c>
      <c r="F123" s="1" t="str">
        <f>"164 p.:전부천연색삽화;23 cm"</f>
        <v>164 p.:전부천연색삽화;23 cm</v>
      </c>
      <c r="G123" s="1"/>
    </row>
    <row r="124" spans="1:7" x14ac:dyDescent="0.3">
      <c r="A124" s="1" t="str">
        <f>"어린이도서관"</f>
        <v>어린이도서관</v>
      </c>
      <c r="B124" s="1" t="str">
        <f>"J813.8-조687ㅂ"</f>
        <v>J813.8-조687ㅂ</v>
      </c>
      <c r="C124" s="1" t="str">
        <f>"본능을 찾아서"</f>
        <v>본능을 찾아서</v>
      </c>
      <c r="D124" s="1" t="str">
        <f>"조은혜 글;미안 그림"</f>
        <v>조은혜 글;미안 그림</v>
      </c>
      <c r="E124" s="1" t="str">
        <f>"고래뱃속"</f>
        <v>고래뱃속</v>
      </c>
      <c r="F124" s="1" t="str">
        <f>"79 p.:천연색삽화;25 cm"</f>
        <v>79 p.:천연색삽화;25 cm</v>
      </c>
      <c r="G124" s="1"/>
    </row>
    <row r="125" spans="1:7" x14ac:dyDescent="0.3">
      <c r="A125" s="1" t="str">
        <f>"어린이도서관"</f>
        <v>어린이도서관</v>
      </c>
      <c r="B125" s="1" t="str">
        <f>"J813.8-표94ㅋ"</f>
        <v>J813.8-표94ㅋ</v>
      </c>
      <c r="C125" s="1" t="str">
        <f>"클라라의 만물상점  : 청소년 판타지소설 십대들의 힐링캠프, 희망(초등고학년)"</f>
        <v>클라라의 만물상점  : 청소년 판타지소설 십대들의 힐링캠프, 희망(초등고학년)</v>
      </c>
      <c r="D125" s="1" t="str">
        <f>"표혜빈 지음"</f>
        <v>표혜빈 지음</v>
      </c>
      <c r="E125" s="1" t="str">
        <f>"행복한나무"</f>
        <v>행복한나무</v>
      </c>
      <c r="F125" s="1" t="str">
        <f>"172 p.;21 cm"</f>
        <v>172 p.;21 cm</v>
      </c>
      <c r="G125" s="1"/>
    </row>
    <row r="126" spans="1:7" x14ac:dyDescent="0.3">
      <c r="A126" s="1" t="str">
        <f>"어린이도서관"</f>
        <v>어린이도서관</v>
      </c>
      <c r="B126" s="1" t="str">
        <f>"J813.8-이7968ㅅ"</f>
        <v>J813.8-이7968ㅅ</v>
      </c>
      <c r="C126" s="1" t="str">
        <f>"수박의 전설 외전 [그림책]"</f>
        <v>수박의 전설 외전 [그림책]</v>
      </c>
      <c r="D126" s="1" t="str">
        <f>"이지은 글·그림"</f>
        <v>이지은 글·그림</v>
      </c>
      <c r="E126" s="1" t="str">
        <f>"쿵프레스"</f>
        <v>쿵프레스</v>
      </c>
      <c r="F126" s="1" t="str">
        <f>"[40] p.:천연색삽화;27 cm"</f>
        <v>[40] p.:천연색삽화;27 cm</v>
      </c>
      <c r="G126" s="1"/>
    </row>
    <row r="127" spans="1:7" x14ac:dyDescent="0.3">
      <c r="A127" s="1" t="str">
        <f>"어린이도서관"</f>
        <v>어린이도서관</v>
      </c>
      <c r="B127" s="1" t="str">
        <f>"J813.87-조68ㅈ"</f>
        <v>J813.87-조68ㅈ</v>
      </c>
      <c r="C127" s="1" t="str">
        <f>"전학 온 라게 김도한"</f>
        <v>전학 온 라게 김도한</v>
      </c>
      <c r="D127" s="1" t="str">
        <f>"조은진 글;송효정 그림"</f>
        <v>조은진 글;송효정 그림</v>
      </c>
      <c r="E127" s="1" t="str">
        <f>"위즈덤하우스"</f>
        <v>위즈덤하우스</v>
      </c>
      <c r="F127" s="1" t="str">
        <f>"73 p.:천연색삽화;22 cm"</f>
        <v>73 p.:천연색삽화;22 cm</v>
      </c>
      <c r="G127" s="1"/>
    </row>
    <row r="128" spans="1:7" x14ac:dyDescent="0.3">
      <c r="A128" s="1" t="str">
        <f>"어린이도서관"</f>
        <v>어린이도서관</v>
      </c>
      <c r="B128" s="1" t="str">
        <f>"J991.1-한17ㅎ-11"</f>
        <v>J991.1-한17ㅎ-11</v>
      </c>
      <c r="C128" s="1" t="str">
        <f>"Who? 장보고"</f>
        <v>Who? 장보고</v>
      </c>
      <c r="D128" s="1" t="str">
        <f>"최재훈 글;정병훈 그림;최인수 정보글"</f>
        <v>최재훈 글;정병훈 그림;최인수 정보글</v>
      </c>
      <c r="E128" s="1" t="str">
        <f>"다산어린이 :다산북스"</f>
        <v>다산어린이 :다산북스</v>
      </c>
      <c r="F128" s="1" t="str">
        <f>"203 p.:전부천연색삽화, 지도, 초상;26 cm"</f>
        <v>203 p.:전부천연색삽화, 지도, 초상;26 cm</v>
      </c>
      <c r="G128" s="1"/>
    </row>
    <row r="129" spans="1:7" x14ac:dyDescent="0.3">
      <c r="A129" s="1" t="str">
        <f>"어린이도서관"</f>
        <v>어린이도서관</v>
      </c>
      <c r="B129" s="1" t="str">
        <f>"J475-섀228ㅂ"</f>
        <v>J475-섀228ㅂ</v>
      </c>
      <c r="C129" s="1" t="str">
        <f>"바이러스 과학 수업"</f>
        <v>바이러스 과학 수업</v>
      </c>
      <c r="D129" s="1" t="str">
        <f>"수잔 섀들리히 지음;카타리나 J. 하이네스 그림;전은경 옮김"</f>
        <v>수잔 섀들리히 지음;카타리나 J. 하이네스 그림;전은경 옮김</v>
      </c>
      <c r="E129" s="1" t="str">
        <f>"비룡소"</f>
        <v>비룡소</v>
      </c>
      <c r="F129" s="1" t="str">
        <f>"74 p.:삽화;24 cm"</f>
        <v>74 p.:삽화;24 cm</v>
      </c>
      <c r="G129" s="1"/>
    </row>
    <row r="130" spans="1:7" x14ac:dyDescent="0.3">
      <c r="A130" s="1" t="str">
        <f>"어린이도서관"</f>
        <v>어린이도서관</v>
      </c>
      <c r="B130" s="1" t="str">
        <f>"J991.1-한17ㅎ-28"</f>
        <v>J991.1-한17ㅎ-28</v>
      </c>
      <c r="C130" s="1" t="str">
        <f>"Who? 이순신"</f>
        <v>Who? 이순신</v>
      </c>
      <c r="D130" s="1" t="str">
        <f>"이수겸 글;스튜디오 청비 그림;최인수 정보글"</f>
        <v>이수겸 글;스튜디오 청비 그림;최인수 정보글</v>
      </c>
      <c r="E130" s="1" t="str">
        <f>"다산어린이 :다산북스"</f>
        <v>다산어린이 :다산북스</v>
      </c>
      <c r="F130" s="1" t="str">
        <f>"207 p.:전부천연색삽화, 계보, 지도, 초상;26 cm"</f>
        <v>207 p.:전부천연색삽화, 계보, 지도, 초상;26 cm</v>
      </c>
      <c r="G130" s="1"/>
    </row>
    <row r="131" spans="1:7" x14ac:dyDescent="0.3">
      <c r="A131" s="1" t="str">
        <f>"어린이도서관"</f>
        <v>어린이도서관</v>
      </c>
      <c r="B131" s="1" t="str">
        <f>"J991.1-한17ㅎ-23"</f>
        <v>J991.1-한17ㅎ-23</v>
      </c>
      <c r="C131" s="1" t="str">
        <f>"Who? 세종 대왕"</f>
        <v>Who? 세종 대왕</v>
      </c>
      <c r="D131" s="1" t="str">
        <f>"최재훈 글;정병훈 그림;최인수 정보글"</f>
        <v>최재훈 글;정병훈 그림;최인수 정보글</v>
      </c>
      <c r="E131" s="1" t="str">
        <f>"다산어린이 :다산북스"</f>
        <v>다산어린이 :다산북스</v>
      </c>
      <c r="F131" s="1" t="str">
        <f>"191 p.:전부천연색삽화, 계보, 지도, 초상;26 cm"</f>
        <v>191 p.:전부천연색삽화, 계보, 지도, 초상;26 cm</v>
      </c>
      <c r="G131" s="1"/>
    </row>
    <row r="132" spans="1:7" x14ac:dyDescent="0.3">
      <c r="A132" s="1" t="str">
        <f>"어린이도서관"</f>
        <v>어린이도서관</v>
      </c>
      <c r="B132" s="1" t="str">
        <f>"J219-설39ㄱ-4"</f>
        <v>J219-설39ㄱ-4</v>
      </c>
      <c r="C132" s="1" t="str">
        <f>"(설민석의) 그리스 로마 신화 대모험. 4, 신들의 전쟁 : 티타노마키아"</f>
        <v>(설민석의) 그리스 로마 신화 대모험. 4, 신들의 전쟁 : 티타노마키아</v>
      </c>
      <c r="D132" s="1" t="str">
        <f>"설민석,남이담 글;이미나 만화"</f>
        <v>설민석,남이담 글;이미나 만화</v>
      </c>
      <c r="E132" s="1" t="str">
        <f>"Dankkum i(단꿈아이)"</f>
        <v>Dankkum i(단꿈아이)</v>
      </c>
      <c r="F132" s="1" t="str">
        <f>"176 p.:전부천연색삽화;26 cm"</f>
        <v>176 p.:전부천연색삽화;26 cm</v>
      </c>
      <c r="G132" s="1"/>
    </row>
    <row r="133" spans="1:7" x14ac:dyDescent="0.3">
      <c r="A133" s="1" t="str">
        <f>"어린이도서관"</f>
        <v>어린이도서관</v>
      </c>
      <c r="B133" s="1" t="str">
        <f>"J909-김39ㅋ-1"</f>
        <v>J909-김39ㅋ-1</v>
      </c>
      <c r="C133" s="1" t="str">
        <f>"(Go Go)카카오 프렌즈. 1, 프랑스(France)"</f>
        <v>(Go Go)카카오 프렌즈. 1, 프랑스(France)</v>
      </c>
      <c r="D133" s="1" t="str">
        <f>"김미영 지음;김정한 그림"</f>
        <v>김미영 지음;김정한 그림</v>
      </c>
      <c r="E133" s="1" t="str">
        <f>"아울북:북이십일"</f>
        <v>아울북:북이십일</v>
      </c>
      <c r="F133" s="1" t="str">
        <f>"192 p.:전부천연색삽화;26 cm"</f>
        <v>192 p.:전부천연색삽화;26 cm</v>
      </c>
      <c r="G133" s="1"/>
    </row>
    <row r="134" spans="1:7" x14ac:dyDescent="0.3">
      <c r="A134" s="1" t="str">
        <f>"어린이도서관"</f>
        <v>어린이도서관</v>
      </c>
      <c r="B134" s="1" t="str">
        <f>"J511-정72ㅈ-12"</f>
        <v>J511-정72ㅈ-12</v>
      </c>
      <c r="C134" s="1" t="str">
        <f>"정재승의 인간탐구 보고서. 12, 인간은 누구나 더없이 예술적이다"</f>
        <v>정재승의 인간탐구 보고서. 12, 인간은 누구나 더없이 예술적이다</v>
      </c>
      <c r="D134" s="1" t="str">
        <f>"정재승,정재은,이고은 지음;김현민 그림"</f>
        <v>정재승,정재은,이고은 지음;김현민 그림</v>
      </c>
      <c r="E134" s="1" t="str">
        <f>"아울북"</f>
        <v>아울북</v>
      </c>
      <c r="F134" s="1" t="str">
        <f>"144 p.:전부천연색삽화;22 cm"</f>
        <v>144 p.:전부천연색삽화;22 cm</v>
      </c>
      <c r="G134" s="1"/>
    </row>
    <row r="135" spans="1:7" x14ac:dyDescent="0.3">
      <c r="A135" s="1" t="str">
        <f>"어린이도서관"</f>
        <v>어린이도서관</v>
      </c>
      <c r="B135" s="1" t="str">
        <f>"J909-김39ㅋ-29"</f>
        <v>J909-김39ㅋ-29</v>
      </c>
      <c r="C135" s="1" t="str">
        <f>"(Go Go)카카오 프렌즈. 29, 멕시코(Mexico)"</f>
        <v>(Go Go)카카오 프렌즈. 29, 멕시코(Mexico)</v>
      </c>
      <c r="D135" s="1" t="str">
        <f>"김미영 글;김정한 그림"</f>
        <v>김미영 글;김정한 그림</v>
      </c>
      <c r="E135" s="1" t="str">
        <f>"북이십일:아울북"</f>
        <v>북이십일:아울북</v>
      </c>
      <c r="F135" s="1" t="str">
        <f>"168 p.:전부천연색삽화, 연표, 사진;26 cm"</f>
        <v>168 p.:전부천연색삽화, 연표, 사진;26 cm</v>
      </c>
      <c r="G135" s="1"/>
    </row>
    <row r="136" spans="1:7" x14ac:dyDescent="0.3">
      <c r="A136" s="1" t="str">
        <f>"어린이도서관"</f>
        <v>어린이도서관</v>
      </c>
      <c r="B136" s="1" t="str">
        <f>"J714.4-미58ㅅ-5"</f>
        <v>J714.4-미58ㅅ-5</v>
      </c>
      <c r="C136" s="1" t="str">
        <f>"사자성어 천재가 되다!. 5"</f>
        <v>사자성어 천재가 되다!. 5</v>
      </c>
      <c r="D136" s="1" t="str">
        <f>"Mr. Sun 어학연구소 지음"</f>
        <v>Mr. Sun 어학연구소 지음</v>
      </c>
      <c r="E136" s="1" t="str">
        <f>"Oldstairs(올드스테어즈)"</f>
        <v>Oldstairs(올드스테어즈)</v>
      </c>
      <c r="F136" s="1" t="str">
        <f>"208 p.:삽화;26 cm"</f>
        <v>208 p.:삽화;26 cm</v>
      </c>
      <c r="G136" s="1"/>
    </row>
    <row r="137" spans="1:7" x14ac:dyDescent="0.3">
      <c r="A137" s="1" t="str">
        <f>"어린이도서관"</f>
        <v>어린이도서관</v>
      </c>
      <c r="B137" s="1" t="str">
        <f>"J453-본63ㄴ"</f>
        <v>J453-본63ㄴ</v>
      </c>
      <c r="C137" s="1" t="str">
        <f>"(엄청나게 신기하고 볼수록 빠져드는) 날씨의 비밀"</f>
        <v>(엄청나게 신기하고 볼수록 빠져드는) 날씨의 비밀</v>
      </c>
      <c r="D137" s="1" t="str">
        <f>"에밀리 본 지음;카티아 가이갈로바 그림;송지혜 옮김"</f>
        <v>에밀리 본 지음;카티아 가이갈로바 그림;송지혜 옮김</v>
      </c>
      <c r="E137" s="1" t="str">
        <f>"어스본커리아"</f>
        <v>어스본커리아</v>
      </c>
      <c r="F137" s="1" t="str">
        <f>"64 p.:천연색삽화;24 cm"</f>
        <v>64 p.:천연색삽화;24 cm</v>
      </c>
      <c r="G137" s="1"/>
    </row>
    <row r="138" spans="1:7" x14ac:dyDescent="0.3">
      <c r="A138" s="1" t="str">
        <f>"어린이도서관"</f>
        <v>어린이도서관</v>
      </c>
      <c r="B138" s="1" t="str">
        <f>"J199-초228ㄴ"</f>
        <v>J199-초228ㄴ</v>
      </c>
      <c r="C138" s="1" t="str">
        <f>"놀면서 배우는 초등 필수 명심보감"</f>
        <v>놀면서 배우는 초등 필수 명심보감</v>
      </c>
      <c r="D138" s="1" t="str">
        <f>"초등국어연구소 지음;유희수 그림"</f>
        <v>초등국어연구소 지음;유희수 그림</v>
      </c>
      <c r="E138" s="1" t="str">
        <f>"카시오페아"</f>
        <v>카시오페아</v>
      </c>
      <c r="F138" s="1" t="str">
        <f>"135 p.:천연색삽화;26 cm"</f>
        <v>135 p.:천연색삽화;26 cm</v>
      </c>
      <c r="G138" s="1"/>
    </row>
    <row r="139" spans="1:7" x14ac:dyDescent="0.3">
      <c r="A139" s="1" t="str">
        <f>"어린이도서관"</f>
        <v>어린이도서관</v>
      </c>
      <c r="B139" s="1" t="str">
        <f>"J219.2-최53ㄱ-10"</f>
        <v>J219.2-최53ㄱ-10</v>
      </c>
      <c r="C139" s="1" t="str">
        <f>"(처음 읽는)그리스 로마 신화. 10, 재주 많은 신과 인간들"</f>
        <v>(처음 읽는)그리스 로마 신화. 10, 재주 많은 신과 인간들</v>
      </c>
      <c r="D139" s="1" t="str">
        <f>"최설희 글;한현동 그림"</f>
        <v>최설희 글;한현동 그림</v>
      </c>
      <c r="E139" s="1" t="str">
        <f>"MiraeN 아이세움:미래엔"</f>
        <v>MiraeN 아이세움:미래엔</v>
      </c>
      <c r="F139" s="1" t="str">
        <f>"152 p.:전부천연색삽화;22 cm"</f>
        <v>152 p.:전부천연색삽화;22 cm</v>
      </c>
      <c r="G139" s="1"/>
    </row>
    <row r="140" spans="1:7" x14ac:dyDescent="0.3">
      <c r="A140" s="1" t="str">
        <f>"어린이도서관"</f>
        <v>어린이도서관</v>
      </c>
      <c r="B140" s="1" t="str">
        <f>"J410-송22ㅅ-95"</f>
        <v>J410-송22ㅅ-95</v>
      </c>
      <c r="C140" s="1" t="str">
        <f>"(코믹 메이플스토리) 수학도둑. 95, 응용편"</f>
        <v>(코믹 메이플스토리) 수학도둑. 95, 응용편</v>
      </c>
      <c r="D140" s="1" t="str">
        <f>"송도수 글;서정엔터테인먼트 그림"</f>
        <v>송도수 글;서정엔터테인먼트 그림</v>
      </c>
      <c r="E140" s="1" t="str">
        <f>"서울문화사"</f>
        <v>서울문화사</v>
      </c>
      <c r="F140" s="1" t="str">
        <f>"165 p.:전부삽화;25 cm"</f>
        <v>165 p.:전부삽화;25 cm</v>
      </c>
      <c r="G140" s="1"/>
    </row>
    <row r="141" spans="1:7" x14ac:dyDescent="0.3">
      <c r="A141" s="1" t="str">
        <f>"어린이도서관"</f>
        <v>어린이도서관</v>
      </c>
      <c r="B141" s="1" t="str">
        <f>"J813.8-신225ㅈ"</f>
        <v>J813.8-신225ㅈ</v>
      </c>
      <c r="C141" s="1" t="str">
        <f>"잘만 3형제 방랑기 [그림책]"</f>
        <v>잘만 3형제 방랑기 [그림책]</v>
      </c>
      <c r="D141" s="1" t="str">
        <f>"신동근 글·그림"</f>
        <v>신동근 글·그림</v>
      </c>
      <c r="E141" s="1" t="str">
        <f>"사계절"</f>
        <v>사계절</v>
      </c>
      <c r="F141" s="1" t="str">
        <f>"[35] p.:천연색삽화;26 cm"</f>
        <v>[35] p.:천연색삽화;26 cm</v>
      </c>
      <c r="G141" s="1"/>
    </row>
    <row r="142" spans="1:7" x14ac:dyDescent="0.3">
      <c r="A142" s="1" t="str">
        <f>"어린이도서관"</f>
        <v>어린이도서관</v>
      </c>
      <c r="B142" s="1" t="str">
        <f>"J811.8-강146ㅂ"</f>
        <v>J811.8-강146ㅂ</v>
      </c>
      <c r="C142" s="1" t="str">
        <f>"밥무라비법 :  강경숙 동시집"</f>
        <v>밥무라비법 :  강경숙 동시집</v>
      </c>
      <c r="D142" s="1" t="str">
        <f>"강경숙 지음;최이레 그림"</f>
        <v>강경숙 지음;최이레 그림</v>
      </c>
      <c r="E142" s="1" t="str">
        <f>"청개구리"</f>
        <v>청개구리</v>
      </c>
      <c r="F142" s="1" t="str">
        <f>"111p.:천연색삽화;21cm"</f>
        <v>111p.:천연색삽화;21cm</v>
      </c>
      <c r="G142" s="1"/>
    </row>
    <row r="143" spans="1:7" x14ac:dyDescent="0.3">
      <c r="A143" s="1" t="str">
        <f>"어린이도서관"</f>
        <v>어린이도서관</v>
      </c>
      <c r="B143" s="1" t="str">
        <f>"J031-인37ㅇ-21"</f>
        <v>J031-인37ㅇ-21</v>
      </c>
      <c r="C143" s="1" t="str">
        <f>"(Why?)국제기구"</f>
        <v>(Why?)국제기구</v>
      </c>
      <c r="D143" s="1" t="str">
        <f>"조영선 글;이영호 그림"</f>
        <v>조영선 글;이영호 그림</v>
      </c>
      <c r="E143" s="1" t="str">
        <f>"예림당"</f>
        <v>예림당</v>
      </c>
      <c r="F143" s="1" t="str">
        <f>"192 p.:전부천연색삽화;26 cm"</f>
        <v>192 p.:전부천연색삽화;26 cm</v>
      </c>
      <c r="G143" s="1"/>
    </row>
    <row r="144" spans="1:7" x14ac:dyDescent="0.3">
      <c r="A144" s="1" t="str">
        <f>"어린이도서관"</f>
        <v>어린이도서관</v>
      </c>
      <c r="B144" s="1" t="str">
        <f>"J909-설39ㅅ-18"</f>
        <v>J909-설39ㅅ-18</v>
      </c>
      <c r="C144" s="1" t="str">
        <f>"(설민석의) 세계사 대모험. 18, 일본 편 : 전국 시대의 권력자들"</f>
        <v>(설민석의) 세계사 대모험. 18, 일본 편 : 전국 시대의 권력자들</v>
      </c>
      <c r="D144" s="1" t="str">
        <f>"설민석,김정욱 글;박성일 그림"</f>
        <v>설민석,김정욱 글;박성일 그림</v>
      </c>
      <c r="E144" s="1" t="str">
        <f>"단꿈아이"</f>
        <v>단꿈아이</v>
      </c>
      <c r="F144" s="1" t="str">
        <f>"176 p.:전부천연색삽화;26 cm"</f>
        <v>176 p.:전부천연색삽화;26 cm</v>
      </c>
      <c r="G144" s="1"/>
    </row>
    <row r="145" spans="1:7" x14ac:dyDescent="0.3">
      <c r="A145" s="1" t="str">
        <f>"어린이도서관"</f>
        <v>어린이도서관</v>
      </c>
      <c r="B145" s="1" t="str">
        <f>"J510.4-고98ㅇ-14"</f>
        <v>J510.4-고98ㅇ-14</v>
      </c>
      <c r="C145" s="1" t="str">
        <f>"의사 어벤저스  : 어린이 의학 동화. 14, 감염 질환, 자만심을 경계하라!"</f>
        <v>의사 어벤저스  : 어린이 의학 동화. 14, 감염 질환, 자만심을 경계하라!</v>
      </c>
      <c r="D145" s="1" t="str">
        <f>"고희정 글;조승연 그림"</f>
        <v>고희정 글;조승연 그림</v>
      </c>
      <c r="E145" s="1" t="str">
        <f>"가나"</f>
        <v>가나</v>
      </c>
      <c r="F145" s="1" t="str">
        <f>"152 p.:천연색삽화;22 cm"</f>
        <v>152 p.:천연색삽화;22 cm</v>
      </c>
      <c r="G145" s="1"/>
    </row>
    <row r="146" spans="1:7" x14ac:dyDescent="0.3">
      <c r="A146" s="1" t="str">
        <f>"어린이도서관"</f>
        <v>어린이도서관</v>
      </c>
      <c r="B146" s="1" t="str">
        <f>"J559.962-포225ㄴ-1"</f>
        <v>J559.962-포225ㄴ-1</v>
      </c>
      <c r="C146" s="1" t="str">
        <f>"내일은 로봇왕 : 본격 대결 과학로봇 만화. 1, 축구로봇 vs 배틀로봇"</f>
        <v>내일은 로봇왕 : 본격 대결 과학로봇 만화. 1, 축구로봇 vs 배틀로봇</v>
      </c>
      <c r="D146" s="1" t="str">
        <f>"포도알친구 글;홍종현 그림"</f>
        <v>포도알친구 글;홍종현 그림</v>
      </c>
      <c r="E146" s="1" t="str">
        <f>"아이세움"</f>
        <v>아이세움</v>
      </c>
      <c r="F146" s="1" t="str">
        <f>"164 p.:천연색삽화;26 cm"</f>
        <v>164 p.:천연색삽화;26 cm</v>
      </c>
      <c r="G146" s="1"/>
    </row>
    <row r="147" spans="1:7" x14ac:dyDescent="0.3">
      <c r="A147" s="1" t="str">
        <f>"어린이도서관"</f>
        <v>어린이도서관</v>
      </c>
      <c r="B147" s="1" t="str">
        <f>"J879-볼231ㄲ"</f>
        <v>J879-볼231ㄲ</v>
      </c>
      <c r="C147" s="1" t="str">
        <f>"끝이라고? [그림책]"</f>
        <v>끝이라고? [그림책]</v>
      </c>
      <c r="D147" s="1" t="str">
        <f>"노에미 볼라 지음;이은지 옮김"</f>
        <v>노에미 볼라 지음;이은지 옮김</v>
      </c>
      <c r="E147" s="1" t="str">
        <f>"단추"</f>
        <v>단추</v>
      </c>
      <c r="F147" s="1" t="str">
        <f>"[40] p.:천연색삽화;22 cm."</f>
        <v>[40] p.:천연색삽화;22 cm.</v>
      </c>
      <c r="G147" s="1"/>
    </row>
    <row r="148" spans="1:7" x14ac:dyDescent="0.3">
      <c r="A148" s="1" t="str">
        <f>"어린이도서관"</f>
        <v>어린이도서관</v>
      </c>
      <c r="B148" s="1" t="str">
        <f>"J811.8-이9421ㅎ"</f>
        <v>J811.8-이9421ㅎ</v>
      </c>
      <c r="C148" s="1" t="str">
        <f>"혼자 먹는 메론빵"</f>
        <v>혼자 먹는 메론빵</v>
      </c>
      <c r="D148" s="1" t="str">
        <f>"이현서 외 29명 시;김하랑 외 10명 그림"</f>
        <v>이현서 외 29명 시;김하랑 외 10명 그림</v>
      </c>
      <c r="E148" s="1" t="str">
        <f>"북극곰"</f>
        <v>북극곰</v>
      </c>
      <c r="F148" s="1" t="str">
        <f>"158 p.:천연색삽화;20 cm"</f>
        <v>158 p.:천연색삽화;20 cm</v>
      </c>
      <c r="G148" s="1"/>
    </row>
    <row r="149" spans="1:7" x14ac:dyDescent="0.3">
      <c r="A149" s="1" t="str">
        <f>"어린이도서관"</f>
        <v>어린이도서관</v>
      </c>
      <c r="B149" s="1" t="str">
        <f>"J843-버213ㅅ"</f>
        <v>J843-버213ㅅ</v>
      </c>
      <c r="C149" s="1" t="str">
        <f>"소공녀"</f>
        <v>소공녀</v>
      </c>
      <c r="D149" s="1" t="str">
        <f>"프랜시스 호지슨 버넷 원작;이규희 엮음;하의정 그림"</f>
        <v>프랜시스 호지슨 버넷 원작;이규희 엮음;하의정 그림</v>
      </c>
      <c r="E149" s="1" t="str">
        <f>"지경사"</f>
        <v>지경사</v>
      </c>
      <c r="F149" s="1" t="str">
        <f>"224 p.:삽화;21 cm"</f>
        <v>224 p.:삽화;21 cm</v>
      </c>
      <c r="G149" s="1"/>
    </row>
    <row r="150" spans="1:7" x14ac:dyDescent="0.3">
      <c r="A150" s="1" t="str">
        <f>"어린이도서관"</f>
        <v>어린이도서관</v>
      </c>
      <c r="B150" s="1" t="str">
        <f>"J813.8-권69ㅅ-1"</f>
        <v>J813.8-권69ㅅ-1</v>
      </c>
      <c r="C150" s="1" t="str">
        <f>"(권일용 프로파일러의) 사라진 셜록 홈즈. 1, AI 탐정단 결성!"</f>
        <v>(권일용 프로파일러의) 사라진 셜록 홈즈. 1, AI 탐정단 결성!</v>
      </c>
      <c r="D150" s="1" t="str">
        <f>"한주이 글;강신영 그림"</f>
        <v>한주이 글;강신영 그림</v>
      </c>
      <c r="E150" s="1" t="str">
        <f>"아울북"</f>
        <v>아울북</v>
      </c>
      <c r="F150" s="1" t="str">
        <f>"160 p.:천연색삽화;21 cm"</f>
        <v>160 p.:천연색삽화;21 cm</v>
      </c>
      <c r="G150" s="1"/>
    </row>
    <row r="151" spans="1:7" x14ac:dyDescent="0.3">
      <c r="A151" s="1" t="str">
        <f>"어린이도서관"</f>
        <v>어린이도서관</v>
      </c>
      <c r="B151" s="1" t="str">
        <f>"J813.8-권69ㅅ-2"</f>
        <v>J813.8-권69ㅅ-2</v>
      </c>
      <c r="C151" s="1" t="str">
        <f>"(권일용 프로파일러의) 사라진 셜록 홈즈. 2, 흩어진 M의 단서를 쫓아라!"</f>
        <v>(권일용 프로파일러의) 사라진 셜록 홈즈. 2, 흩어진 M의 단서를 쫓아라!</v>
      </c>
      <c r="D151" s="1" t="str">
        <f>"한주이 글;강신영 그림"</f>
        <v>한주이 글;강신영 그림</v>
      </c>
      <c r="E151" s="1" t="str">
        <f>"아울북"</f>
        <v>아울북</v>
      </c>
      <c r="F151" s="1" t="str">
        <f>"160 p.:삽화;22 cm"</f>
        <v>160 p.:삽화;22 cm</v>
      </c>
      <c r="G151" s="1"/>
    </row>
    <row r="152" spans="1:7" x14ac:dyDescent="0.3">
      <c r="A152" s="1" t="str">
        <f>"어린이도서관"</f>
        <v>어린이도서관</v>
      </c>
      <c r="B152" s="1" t="str">
        <f>"J813.8-흔91ㅎ-14"</f>
        <v>J813.8-흔91ㅎ-14</v>
      </c>
      <c r="C152" s="1" t="str">
        <f>"흔한 남매. 14"</f>
        <v>흔한 남매. 14</v>
      </c>
      <c r="D152" s="1" t="str">
        <f>"흔한남매 원작;백난도 글;유난희 그림"</f>
        <v>흔한남매 원작;백난도 글;유난희 그림</v>
      </c>
      <c r="E152" s="1" t="str">
        <f>"미래엔:아이세움"</f>
        <v>미래엔:아이세움</v>
      </c>
      <c r="F152" s="1" t="str">
        <f>"196 p.:전부삽화;22 cm"</f>
        <v>196 p.:전부삽화;22 cm</v>
      </c>
      <c r="G152" s="1"/>
    </row>
    <row r="153" spans="1:7" x14ac:dyDescent="0.3">
      <c r="A153" s="1" t="str">
        <f>"어린이도서관"</f>
        <v>어린이도서관</v>
      </c>
      <c r="B153" s="1" t="str">
        <f>"J516-스831ㄱ"</f>
        <v>J516-스831ㄱ</v>
      </c>
      <c r="C153" s="1" t="str">
        <f>"가슴이 궁금한 너에게  : 소녀들을 위한 건강하고 유쾌한 가슴 안내서"</f>
        <v>가슴이 궁금한 너에게  : 소녀들을 위한 건강하고 유쾌한 가슴 안내서</v>
      </c>
      <c r="D153" s="1" t="str">
        <f>"유미 스타인스,멜리사 캉 글;제니 래섬 그림;이정희 옮김"</f>
        <v>유미 스타인스,멜리사 캉 글;제니 래섬 그림;이정희 옮김</v>
      </c>
      <c r="E153" s="1" t="str">
        <f>"다산어린이 :다산북스"</f>
        <v>다산어린이 :다산북스</v>
      </c>
      <c r="F153" s="1" t="str">
        <f>"219 p.:천연색삽화;18 cm"</f>
        <v>219 p.:천연색삽화;18 cm</v>
      </c>
      <c r="G153" s="1"/>
    </row>
    <row r="154" spans="1:7" x14ac:dyDescent="0.3">
      <c r="A154" s="1" t="str">
        <f>"어린이도서관"</f>
        <v>어린이도서관</v>
      </c>
      <c r="B154" s="1" t="str">
        <f>"J404-조77ㄱ-2"</f>
        <v>J404-조77ㄱ-2</v>
      </c>
      <c r="C154" s="1" t="str">
        <f>"(Go Go)카카오프렌즈 자연탐사. 2, 사하라 사막"</f>
        <v>(Go Go)카카오프렌즈 자연탐사. 2, 사하라 사막</v>
      </c>
      <c r="D154" s="1" t="str">
        <f>"조주희 글;김정한 그림"</f>
        <v>조주희 글;김정한 그림</v>
      </c>
      <c r="E154" s="1" t="str">
        <f>"아울북:북이십일"</f>
        <v>아울북:북이십일</v>
      </c>
      <c r="F154" s="1" t="str">
        <f>"164 p.:전부천연색삽화;26 cm"</f>
        <v>164 p.:전부천연색삽화;26 cm</v>
      </c>
      <c r="G154" s="1"/>
    </row>
    <row r="155" spans="1:7" x14ac:dyDescent="0.3">
      <c r="A155" s="1" t="str">
        <f>"어린이도서관"</f>
        <v>어린이도서관</v>
      </c>
      <c r="B155" s="1" t="str">
        <f>"J404-조77ㄱ-1"</f>
        <v>J404-조77ㄱ-1</v>
      </c>
      <c r="C155" s="1" t="str">
        <f>"(Go Go)카카오프렌즈 자연탐사. 1, 아마존 열대우림"</f>
        <v>(Go Go)카카오프렌즈 자연탐사. 1, 아마존 열대우림</v>
      </c>
      <c r="D155" s="1" t="str">
        <f>"조주희 글;김정한 그림"</f>
        <v>조주희 글;김정한 그림</v>
      </c>
      <c r="E155" s="1" t="str">
        <f>"아울북:북이십일"</f>
        <v>아울북:북이십일</v>
      </c>
      <c r="F155" s="1" t="str">
        <f>"164 p.:전부천연색삽화;26 cm"</f>
        <v>164 p.:전부천연색삽화;26 cm</v>
      </c>
      <c r="G155" s="1"/>
    </row>
    <row r="156" spans="1:7" x14ac:dyDescent="0.3">
      <c r="A156" s="1" t="str">
        <f>"어린이도서관"</f>
        <v>어린이도서관</v>
      </c>
      <c r="B156" s="1" t="str">
        <f>"J909-김39ㅋ-11"</f>
        <v>J909-김39ㅋ-11</v>
      </c>
      <c r="C156" s="1" t="str">
        <f>"(Go Go)카카오 프렌즈. 11, 한국"</f>
        <v>(Go Go)카카오 프렌즈. 11, 한국</v>
      </c>
      <c r="D156" s="1" t="str">
        <f>"김미영 글;김정한 그림"</f>
        <v>김미영 글;김정한 그림</v>
      </c>
      <c r="E156" s="1" t="str">
        <f>"북이십일:아울북"</f>
        <v>북이십일:아울북</v>
      </c>
      <c r="F156" s="1" t="str">
        <f>"176 p.:전부천연색삽화, 연표, 사진;26 cm"</f>
        <v>176 p.:전부천연색삽화, 연표, 사진;26 cm</v>
      </c>
      <c r="G156" s="1"/>
    </row>
    <row r="157" spans="1:7" x14ac:dyDescent="0.3">
      <c r="A157" s="1" t="str">
        <f>"어린이도서관"</f>
        <v>어린이도서관</v>
      </c>
      <c r="B157" s="1" t="str">
        <f>"J813.8-홍39걱-2"</f>
        <v>J813.8-홍39걱-2</v>
      </c>
      <c r="C157" s="1" t="str">
        <f>"딴생각 세탁소 : 걱정 세탁소 두 번째 이야기"</f>
        <v>딴생각 세탁소 : 걱정 세탁소 두 번째 이야기</v>
      </c>
      <c r="D157" s="1" t="str">
        <f>"홍민정 글;김도아 그림"</f>
        <v>홍민정 글;김도아 그림</v>
      </c>
      <c r="E157" s="1" t="str">
        <f>"좋은책어린이"</f>
        <v>좋은책어린이</v>
      </c>
      <c r="F157" s="1" t="str">
        <f>"68 p.:천연색삽화;26 cm"</f>
        <v>68 p.:천연색삽화;26 cm</v>
      </c>
      <c r="G157" s="1"/>
    </row>
    <row r="158" spans="1:7" x14ac:dyDescent="0.3">
      <c r="A158" s="1" t="str">
        <f>"어린이도서관"</f>
        <v>어린이도서관</v>
      </c>
      <c r="B158" s="1" t="str">
        <f>"J194-김79ㅅ"</f>
        <v>J194-김79ㅅ</v>
      </c>
      <c r="C158" s="1" t="str">
        <f>"(읽다 보면 저절로 알게 되는)신비한 친구 사전"</f>
        <v>(읽다 보면 저절로 알게 되는)신비한 친구 사전</v>
      </c>
      <c r="D158" s="1" t="str">
        <f>"김지호 글·그림"</f>
        <v>김지호 글·그림</v>
      </c>
      <c r="E158" s="1" t="str">
        <f>"파란정원"</f>
        <v>파란정원</v>
      </c>
      <c r="F158" s="1" t="str">
        <f>"219 p.:천연색삽화;19 cm"</f>
        <v>219 p.:천연색삽화;19 cm</v>
      </c>
      <c r="G158" s="1"/>
    </row>
    <row r="159" spans="1:7" x14ac:dyDescent="0.3">
      <c r="A159" s="1" t="str">
        <f>"어린이도서관"</f>
        <v>어린이도서관</v>
      </c>
      <c r="B159" s="1" t="str">
        <f>"J813.5-흔91ㅇ-4"</f>
        <v>J813.5-흔91ㅇ-4</v>
      </c>
      <c r="C159" s="1" t="str">
        <f>"(흔한남매) 이상한 나라의 고전 읽기. 4, 구운몽 금방울전 김원전"</f>
        <v>(흔한남매) 이상한 나라의 고전 읽기. 4, 구운몽 금방울전 김원전</v>
      </c>
      <c r="D159" s="1" t="str">
        <f>"최재훈 글;정주연 그림"</f>
        <v>최재훈 글;정주연 그림</v>
      </c>
      <c r="E159" s="1" t="str">
        <f>"Mirae N:아이세움"</f>
        <v>Mirae N:아이세움</v>
      </c>
      <c r="F159" s="1" t="str">
        <f>"132 p.:천연색삽화;21 cm"</f>
        <v>132 p.:천연색삽화;21 cm</v>
      </c>
      <c r="G159" s="1"/>
    </row>
    <row r="160" spans="1:7" x14ac:dyDescent="0.3">
      <c r="A160" s="1" t="str">
        <f>"어린이도서관"</f>
        <v>어린이도서관</v>
      </c>
      <c r="B160" s="1" t="str">
        <f>"J082-오68ㄷ"</f>
        <v>J082-오68ㄷ</v>
      </c>
      <c r="C160" s="1" t="str">
        <f>"도서관에서 찾은 인권 이야기"</f>
        <v>도서관에서 찾은 인권 이야기</v>
      </c>
      <c r="D160" s="1" t="str">
        <f>"오은숙 글;이진아 그림"</f>
        <v>오은숙 글;이진아 그림</v>
      </c>
      <c r="E160" s="1" t="str">
        <f>"리틀씨앤톡"</f>
        <v>리틀씨앤톡</v>
      </c>
      <c r="F160" s="1" t="str">
        <f>"144 p.:천연색삽화;24 cm"</f>
        <v>144 p.:천연색삽화;24 cm</v>
      </c>
      <c r="G160" s="1"/>
    </row>
    <row r="161" spans="1:7" x14ac:dyDescent="0.3">
      <c r="A161" s="1" t="str">
        <f>"어린이도서관"</f>
        <v>어린이도서관</v>
      </c>
      <c r="B161" s="1" t="str">
        <f>"J813.8-우39ㅅ"</f>
        <v>J813.8-우39ㅅ</v>
      </c>
      <c r="C161" s="1" t="str">
        <f>"산타 언니의 디지털 세탁소"</f>
        <v>산타 언니의 디지털 세탁소</v>
      </c>
      <c r="D161" s="1" t="str">
        <f>"우미옥 지음;최도은 그림"</f>
        <v>우미옥 지음;최도은 그림</v>
      </c>
      <c r="E161" s="1" t="str">
        <f>"그레이트BOOKS(그레이트북스)"</f>
        <v>그레이트BOOKS(그레이트북스)</v>
      </c>
      <c r="F161" s="1" t="str">
        <f>"120 p.:천연색삽화;22 cm"</f>
        <v>120 p.:천연색삽화;22 cm</v>
      </c>
      <c r="G161" s="1"/>
    </row>
    <row r="162" spans="1:7" x14ac:dyDescent="0.3">
      <c r="A162" s="1" t="str">
        <f>"어린이도서관"</f>
        <v>어린이도서관</v>
      </c>
      <c r="B162" s="1" t="str">
        <f>"J813.8-신67ㄴ"</f>
        <v>J813.8-신67ㄴ</v>
      </c>
      <c r="C162" s="1" t="str">
        <f>"내 동생은 앵무새 로봇"</f>
        <v>내 동생은 앵무새 로봇</v>
      </c>
      <c r="D162" s="1" t="str">
        <f>"신원미 글;양정아 그림"</f>
        <v>신원미 글;양정아 그림</v>
      </c>
      <c r="E162" s="1" t="str">
        <f>"봄개울"</f>
        <v>봄개울</v>
      </c>
      <c r="F162" s="1" t="str">
        <f>"74 p.:천연색삽화;22 cm"</f>
        <v>74 p.:천연색삽화;22 cm</v>
      </c>
      <c r="G162" s="1"/>
    </row>
    <row r="163" spans="1:7" x14ac:dyDescent="0.3">
      <c r="A163" s="1" t="str">
        <f>"어린이도서관"</f>
        <v>어린이도서관</v>
      </c>
      <c r="B163" s="1" t="str">
        <f>"J813.8-김391ㅁ"</f>
        <v>J813.8-김391ㅁ</v>
      </c>
      <c r="C163" s="1" t="str">
        <f>"마천루 빌딩 네거리에 슈퍼 히어로가 나타났다"</f>
        <v>마천루 빌딩 네거리에 슈퍼 히어로가 나타났다</v>
      </c>
      <c r="D163" s="1" t="str">
        <f>"김미숙 지음;한호진 그림"</f>
        <v>김미숙 지음;한호진 그림</v>
      </c>
      <c r="E163" s="1" t="str">
        <f>"우리교육"</f>
        <v>우리교육</v>
      </c>
      <c r="F163" s="1" t="str">
        <f>"86 p.:천연색삽화;21 cm"</f>
        <v>86 p.:천연색삽화;21 cm</v>
      </c>
      <c r="G163" s="1"/>
    </row>
    <row r="164" spans="1:7" x14ac:dyDescent="0.3">
      <c r="A164" s="1" t="str">
        <f>"어린이도서관"</f>
        <v>어린이도서관</v>
      </c>
      <c r="B164" s="1" t="str">
        <f>"J813.8-김399ㅇ"</f>
        <v>J813.8-김399ㅇ</v>
      </c>
      <c r="C164" s="1" t="str">
        <f>"알약밥"</f>
        <v>알약밥</v>
      </c>
      <c r="D164" s="1" t="str">
        <f>"김미희 글;안병현 그림"</f>
        <v>김미희 글;안병현 그림</v>
      </c>
      <c r="E164" s="1" t="str">
        <f>"단비어린이 :가치창조"</f>
        <v>단비어린이 :가치창조</v>
      </c>
      <c r="F164" s="1" t="str">
        <f>"91 p.:천연색삽화;21 cm"</f>
        <v>91 p.:천연색삽화;21 cm</v>
      </c>
      <c r="G164" s="1"/>
    </row>
    <row r="165" spans="1:7" x14ac:dyDescent="0.3">
      <c r="A165" s="1" t="str">
        <f>"어린이도서관"</f>
        <v>어린이도서관</v>
      </c>
      <c r="B165" s="1" t="str">
        <f>"J813.8-박966ㅍ"</f>
        <v>J813.8-박966ㅍ</v>
      </c>
      <c r="C165" s="1" t="str">
        <f>"플라스틱 섬의 비밀 : 쓰레기 섬을 구하라!"</f>
        <v>플라스틱 섬의 비밀 : 쓰레기 섬을 구하라!</v>
      </c>
      <c r="D165" s="1" t="str">
        <f>"박효연 지음;홍선주 그림"</f>
        <v>박효연 지음;홍선주 그림</v>
      </c>
      <c r="E165" s="1" t="str">
        <f>"꿈꾸는섬"</f>
        <v>꿈꾸는섬</v>
      </c>
      <c r="F165" s="1" t="str">
        <f>"132 p.:삽화;22 cm"</f>
        <v>132 p.:삽화;22 cm</v>
      </c>
      <c r="G165" s="1"/>
    </row>
    <row r="166" spans="1:7" x14ac:dyDescent="0.3">
      <c r="A166" s="1" t="str">
        <f>"어린이도서관"</f>
        <v>어린이도서관</v>
      </c>
      <c r="B166" s="1" t="str">
        <f>"J813.8-오39ㅇ"</f>
        <v>J813.8-오39ㅇ</v>
      </c>
      <c r="C166" s="1" t="str">
        <f>"안녕, 나의 하비"</f>
        <v>안녕, 나의 하비</v>
      </c>
      <c r="D166" s="1" t="str">
        <f>"오미경 글;이지현 그림"</f>
        <v>오미경 글;이지현 그림</v>
      </c>
      <c r="E166" s="1" t="str">
        <f>"키다리"</f>
        <v>키다리</v>
      </c>
      <c r="F166" s="1" t="str">
        <f>"92 p.:천연색삽화;23 cm"</f>
        <v>92 p.:천연색삽화;23 cm</v>
      </c>
      <c r="G166" s="1"/>
    </row>
    <row r="167" spans="1:7" x14ac:dyDescent="0.3">
      <c r="A167" s="1" t="str">
        <f>"어린이도서관"</f>
        <v>어린이도서관</v>
      </c>
      <c r="B167" s="1" t="str">
        <f>"J400-곽72ㄱ-2"</f>
        <v>J400-곽72ㄱ-2</v>
      </c>
      <c r="C167" s="1" t="str">
        <f>"곽재식의 괴물 과학 수사대  : 과학X상상력 충전 프로젝트. 2, 괴물보다 무서운 괴물"</f>
        <v>곽재식의 괴물 과학 수사대  : 과학X상상력 충전 프로젝트. 2, 괴물보다 무서운 괴물</v>
      </c>
      <c r="D167" s="1" t="str">
        <f>"곽재식,강민정 글;박그림 그림"</f>
        <v>곽재식,강민정 글;박그림 그림</v>
      </c>
      <c r="E167" s="1" t="str">
        <f>"위즈덤하우스"</f>
        <v>위즈덤하우스</v>
      </c>
      <c r="F167" s="1" t="str">
        <f>"176 p.:천연색삽화, 초상;22 cm"</f>
        <v>176 p.:천연색삽화, 초상;22 cm</v>
      </c>
      <c r="G167" s="1"/>
    </row>
    <row r="168" spans="1:7" x14ac:dyDescent="0.3">
      <c r="A168" s="1" t="str">
        <f>"어린이도서관"</f>
        <v>어린이도서관</v>
      </c>
      <c r="B168" s="1" t="str">
        <f>"J823.5-나16ㅅ-13"</f>
        <v>J823.5-나16ㅅ-13</v>
      </c>
      <c r="C168" s="1" t="str">
        <f>"설민석의 삼국지 대모험. 13, 여포의 마지막 꿈"</f>
        <v>설민석의 삼국지 대모험. 13, 여포의 마지막 꿈</v>
      </c>
      <c r="D168" s="1" t="str">
        <f>"단꿈아이 글;스튜디오 담 만화"</f>
        <v>단꿈아이 글;스튜디오 담 만화</v>
      </c>
      <c r="E168" s="1" t="str">
        <f>"Dankkum i :단꿈아이"</f>
        <v>Dankkum i :단꿈아이</v>
      </c>
      <c r="F168" s="1" t="str">
        <f>"152 p.:전부천연색삽화;24 cm"</f>
        <v>152 p.:전부천연색삽화;24 cm</v>
      </c>
      <c r="G168" s="1"/>
    </row>
    <row r="169" spans="1:7" x14ac:dyDescent="0.3">
      <c r="A169" s="1" t="str">
        <f>"어린이도서관"</f>
        <v>어린이도서관</v>
      </c>
      <c r="B169" s="1" t="str">
        <f>"J853-비63이"</f>
        <v>J853-비63이</v>
      </c>
      <c r="C169" s="1" t="str">
        <f>"책 먹는 여우와 이야기 도둑"</f>
        <v>책 먹는 여우와 이야기 도둑</v>
      </c>
      <c r="D169" s="1" t="str">
        <f>"프란치스카 비어만 글·그림;송순섭 옮김"</f>
        <v>프란치스카 비어만 글·그림;송순섭 옮김</v>
      </c>
      <c r="E169" s="1" t="str">
        <f>"주니어김영사:김영사"</f>
        <v>주니어김영사:김영사</v>
      </c>
      <c r="F169" s="1" t="str">
        <f>"1책:삽화;24 cm"</f>
        <v>1책:삽화;24 cm</v>
      </c>
      <c r="G169" s="1"/>
    </row>
    <row r="170" spans="1:7" x14ac:dyDescent="0.3">
      <c r="A170" s="1" t="str">
        <f>"어린이도서관"</f>
        <v>어린이도서관</v>
      </c>
      <c r="B170" s="1" t="str">
        <f>"J843-시219ㅁ-2"</f>
        <v>J843-시219ㅁ-2</v>
      </c>
      <c r="C170" s="1" t="str">
        <f>"문어 팬티 [그림책]. 2"</f>
        <v>문어 팬티 [그림책]. 2</v>
      </c>
      <c r="D170" s="1" t="str">
        <f>"수지 시니어 지음;클레어 파월 그림;한미숙 옮김"</f>
        <v>수지 시니어 지음;클레어 파월 그림;한미숙 옮김</v>
      </c>
      <c r="E170" s="1" t="str">
        <f>"천개의바람"</f>
        <v>천개의바람</v>
      </c>
      <c r="F170" s="1" t="str">
        <f>"[32] p.:천연색삽화;27 cm"</f>
        <v>[32] p.:천연색삽화;27 cm</v>
      </c>
      <c r="G170" s="1"/>
    </row>
    <row r="171" spans="1:7" x14ac:dyDescent="0.3">
      <c r="A171" s="1" t="str">
        <f>"어린이도서관"</f>
        <v>어린이도서관</v>
      </c>
      <c r="B171" s="1" t="str">
        <f>"J843-시219ㅁ-1"</f>
        <v>J843-시219ㅁ-1</v>
      </c>
      <c r="C171" s="1" t="str">
        <f>"문어 팬티 [그림책]. 1"</f>
        <v>문어 팬티 [그림책]. 1</v>
      </c>
      <c r="D171" s="1" t="str">
        <f>"수지 시니어 글;클레어 파월 그림;한미숙 옮김"</f>
        <v>수지 시니어 글;클레어 파월 그림;한미숙 옮김</v>
      </c>
      <c r="E171" s="1" t="str">
        <f>"천개의바람"</f>
        <v>천개의바람</v>
      </c>
      <c r="F171" s="1" t="str">
        <f>"[32] p.:천연색삽화;27 cm"</f>
        <v>[32] p.:천연색삽화;27 cm</v>
      </c>
      <c r="G171" s="1"/>
    </row>
    <row r="172" spans="1:7" x14ac:dyDescent="0.3">
      <c r="A172" s="1" t="str">
        <f>"어린이도서관"</f>
        <v>어린이도서관</v>
      </c>
      <c r="B172" s="1" t="str">
        <f>"J843-두228ㅇ"</f>
        <v>J843-두228ㅇ</v>
      </c>
      <c r="C172" s="1" t="str">
        <f>"옆집에 이사 온 올바르다 해적단 [그림책]"</f>
        <v>옆집에 이사 온 올바르다 해적단 [그림책]</v>
      </c>
      <c r="D172" s="1" t="str">
        <f>"조니 두들 글·그림;공상공장 옮김"</f>
        <v>조니 두들 글·그림;공상공장 옮김</v>
      </c>
      <c r="E172" s="1" t="str">
        <f>"키즈엠"</f>
        <v>키즈엠</v>
      </c>
      <c r="F172" s="1" t="str">
        <f>"30 p.:천연색삽화;26 cm"</f>
        <v>30 p.:천연색삽화;26 cm</v>
      </c>
      <c r="G172" s="1"/>
    </row>
    <row r="173" spans="1:7" x14ac:dyDescent="0.3">
      <c r="A173" s="1" t="str">
        <f>"어린이도서관"</f>
        <v>어린이도서관</v>
      </c>
      <c r="B173" s="1" t="str">
        <f>"J539-유221ㅁ"</f>
        <v>J539-유221ㅁ</v>
      </c>
      <c r="C173" s="1" t="str">
        <f>"마이너 도사의 쓰레기 줄여줄여법 [그림책]"</f>
        <v>마이너 도사의 쓰레기 줄여줄여법 [그림책]</v>
      </c>
      <c r="D173" s="1" t="str">
        <f>"유다정 글;이해정 그림"</f>
        <v>유다정 글;이해정 그림</v>
      </c>
      <c r="E173" s="1" t="str">
        <f>"와이즈만 Books"</f>
        <v>와이즈만 Books</v>
      </c>
      <c r="F173" s="1" t="str">
        <f>"43 p.:천연색삽화;25 cm"</f>
        <v>43 p.:천연색삽화;25 cm</v>
      </c>
      <c r="G173" s="1"/>
    </row>
    <row r="174" spans="1:7" x14ac:dyDescent="0.3">
      <c r="A174" s="1" t="str">
        <f>"어린이도서관"</f>
        <v>어린이도서관</v>
      </c>
      <c r="B174" s="1" t="str">
        <f>"J813.8-이399ㅅ"</f>
        <v>J813.8-이399ㅅ</v>
      </c>
      <c r="C174" s="1" t="str">
        <f>"속마음 마이크"</f>
        <v>속마음 마이크</v>
      </c>
      <c r="D174" s="1" t="str">
        <f>"이미현 글;김미연 그림"</f>
        <v>이미현 글;김미연 그림</v>
      </c>
      <c r="E174" s="1" t="str">
        <f>"잇츠북"</f>
        <v>잇츠북</v>
      </c>
      <c r="F174" s="1" t="str">
        <f>"81 p.:천연색삽화;24 cm"</f>
        <v>81 p.:천연색삽화;24 cm</v>
      </c>
      <c r="G174" s="1"/>
    </row>
    <row r="175" spans="1:7" x14ac:dyDescent="0.3">
      <c r="A175" s="1" t="str">
        <f>"어린이도서관"</f>
        <v>어린이도서관</v>
      </c>
      <c r="B175" s="1" t="str">
        <f>"J813.8-이579ㄴ"</f>
        <v>J813.8-이579ㄴ</v>
      </c>
      <c r="C175" s="1" t="str">
        <f>"나 대신 아파해 줄 사람"</f>
        <v>나 대신 아파해 줄 사람</v>
      </c>
      <c r="D175" s="1" t="str">
        <f>"이수용 글;심윤정 그림"</f>
        <v>이수용 글;심윤정 그림</v>
      </c>
      <c r="E175" s="1" t="str">
        <f>"잇츠북어린이"</f>
        <v>잇츠북어린이</v>
      </c>
      <c r="F175" s="1" t="str">
        <f>"85 p.:천연색삽화;24 cm"</f>
        <v>85 p.:천연색삽화;24 cm</v>
      </c>
      <c r="G175" s="1"/>
    </row>
    <row r="176" spans="1:7" x14ac:dyDescent="0.3">
      <c r="A176" s="1" t="str">
        <f>"어린이도서관"</f>
        <v>어린이도서관</v>
      </c>
      <c r="B176" s="1" t="str">
        <f>"J813.8-이79ㄷ-1"</f>
        <v>J813.8-이79ㄷ-1</v>
      </c>
      <c r="C176" s="1" t="str">
        <f>"(고민을 들어줘)닥터 별냥. 1"</f>
        <v>(고민을 들어줘)닥터 별냥. 1</v>
      </c>
      <c r="D176" s="1" t="str">
        <f>"이지음 글;문채빈 그림"</f>
        <v>이지음 글;문채빈 그림</v>
      </c>
      <c r="E176" s="1" t="str">
        <f>"꿈터"</f>
        <v>꿈터</v>
      </c>
      <c r="F176" s="1" t="str">
        <f>"118 p.:천연색삽화;21 cm"</f>
        <v>118 p.:천연색삽화;21 cm</v>
      </c>
      <c r="G176" s="1"/>
    </row>
    <row r="177" spans="1:7" x14ac:dyDescent="0.3">
      <c r="A177" s="1" t="str">
        <f>"어린이도서관"</f>
        <v>어린이도서관</v>
      </c>
      <c r="B177" s="1" t="str">
        <f>"J813.8-김1463ㅁ"</f>
        <v>J813.8-김1463ㅁ</v>
      </c>
      <c r="C177" s="1" t="str">
        <f>"마음 뽑기"</f>
        <v>마음 뽑기</v>
      </c>
      <c r="D177" s="1" t="str">
        <f>"김경미 동화;심보영 그림"</f>
        <v>김경미 동화;심보영 그림</v>
      </c>
      <c r="E177" s="1" t="str">
        <f>"책읽는곰"</f>
        <v>책읽는곰</v>
      </c>
      <c r="F177" s="1" t="str">
        <f>"89 p.:천연색삽화;21 cm"</f>
        <v>89 p.:천연색삽화;21 cm</v>
      </c>
      <c r="G177" s="1"/>
    </row>
    <row r="178" spans="1:7" x14ac:dyDescent="0.3">
      <c r="A178" s="1" t="str">
        <f>"어린이도서관"</f>
        <v>어린이도서관</v>
      </c>
      <c r="B178" s="1" t="str">
        <f>"J813.8-박94215ㄱ"</f>
        <v>J813.8-박94215ㄱ</v>
      </c>
      <c r="C178" s="1" t="str">
        <f>"김마녀 가게"</f>
        <v>김마녀 가게</v>
      </c>
      <c r="D178" s="1" t="str">
        <f>"박현경 글;김주경 그림"</f>
        <v>박현경 글;김주경 그림</v>
      </c>
      <c r="E178" s="1" t="str">
        <f>"잇츠북어린이"</f>
        <v>잇츠북어린이</v>
      </c>
      <c r="F178" s="1" t="str">
        <f>"73 p.:천연색삽화;24 cm"</f>
        <v>73 p.:천연색삽화;24 cm</v>
      </c>
      <c r="G178" s="1"/>
    </row>
    <row r="179" spans="1:7" x14ac:dyDescent="0.3">
      <c r="A179" s="1" t="str">
        <f>"어린이도서관"</f>
        <v>어린이도서관</v>
      </c>
      <c r="B179" s="1" t="str">
        <f>"J813.8-신3921ㄴ"</f>
        <v>J813.8-신3921ㄴ</v>
      </c>
      <c r="C179" s="1" t="str">
        <f>"누룽지 이사 대작전"</f>
        <v>누룽지 이사 대작전</v>
      </c>
      <c r="D179" s="1" t="str">
        <f>"신민경 지음;이은주 그림"</f>
        <v>신민경 지음;이은주 그림</v>
      </c>
      <c r="E179" s="1" t="str">
        <f>"우리교육"</f>
        <v>우리교육</v>
      </c>
      <c r="F179" s="1" t="str">
        <f>"164 p.:천연색삽화;23 cm"</f>
        <v>164 p.:천연색삽화;23 cm</v>
      </c>
      <c r="G179" s="1"/>
    </row>
    <row r="180" spans="1:7" x14ac:dyDescent="0.3">
      <c r="A180" s="1" t="str">
        <f>"어린이도서관"</f>
        <v>어린이도서관</v>
      </c>
      <c r="B180" s="1" t="str">
        <f>"J813.8-김1461ㅎ"</f>
        <v>J813.8-김1461ㅎ</v>
      </c>
      <c r="C180" s="1" t="str">
        <f>"하트 비빔밥"</f>
        <v>하트 비빔밥</v>
      </c>
      <c r="D180" s="1" t="str">
        <f>"김경구 글;이소영 그림"</f>
        <v>김경구 글;이소영 그림</v>
      </c>
      <c r="E180" s="1" t="str">
        <f>"가문비어린이 :가문비"</f>
        <v>가문비어린이 :가문비</v>
      </c>
      <c r="F180" s="1" t="str">
        <f>"89 p.:천연색삽화;24 cm"</f>
        <v>89 p.:천연색삽화;24 cm</v>
      </c>
      <c r="G180" s="1"/>
    </row>
    <row r="181" spans="1:7" x14ac:dyDescent="0.3">
      <c r="A181" s="1" t="str">
        <f>"어린이도서관"</f>
        <v>어린이도서관</v>
      </c>
      <c r="B181" s="1" t="str">
        <f>"J813.8-정6421ㅎ"</f>
        <v>J813.8-정6421ㅎ</v>
      </c>
      <c r="C181" s="1" t="str">
        <f>"한숨 먹는 괴물 후유"</f>
        <v>한숨 먹는 괴물 후유</v>
      </c>
      <c r="D181" s="1" t="str">
        <f>"정연철 글;윤유리 그림"</f>
        <v>정연철 글;윤유리 그림</v>
      </c>
      <c r="E181" s="1" t="str">
        <f>"푸른숲주니어 :푸른숲"</f>
        <v>푸른숲주니어 :푸른숲</v>
      </c>
      <c r="F181" s="1" t="str">
        <f>"124 p.:천연색삽화;23 cm"</f>
        <v>124 p.:천연색삽화;23 cm</v>
      </c>
      <c r="G181" s="1"/>
    </row>
    <row r="182" spans="1:7" x14ac:dyDescent="0.3">
      <c r="A182" s="1" t="str">
        <f>"어린이도서관"</f>
        <v>어린이도서관</v>
      </c>
      <c r="B182" s="1" t="str">
        <f>"J813.8-이3469ㅎ"</f>
        <v>J813.8-이3469ㅎ</v>
      </c>
      <c r="C182" s="1" t="str">
        <f>"하나만 골라 선물 가게"</f>
        <v>하나만 골라 선물 가게</v>
      </c>
      <c r="D182" s="1" t="str">
        <f>"이명희 글;박현주 그림"</f>
        <v>이명희 글;박현주 그림</v>
      </c>
      <c r="E182" s="1" t="str">
        <f>"썬더키즈 :썬더버드"</f>
        <v>썬더키즈 :썬더버드</v>
      </c>
      <c r="F182" s="1" t="str">
        <f>"125 p.:천연색삽화;22 cm"</f>
        <v>125 p.:천연색삽화;22 cm</v>
      </c>
      <c r="G182" s="1"/>
    </row>
    <row r="183" spans="1:7" x14ac:dyDescent="0.3">
      <c r="A183" s="1" t="str">
        <f>"어린이도서관"</f>
        <v>어린이도서관</v>
      </c>
      <c r="B183" s="1" t="str">
        <f>"J813.8-정5321ㅋ"</f>
        <v>J813.8-정5321ㅋ</v>
      </c>
      <c r="C183" s="1" t="str">
        <f>"쿵쿵! 마음을 말해 봐!"</f>
        <v>쿵쿵! 마음을 말해 봐!</v>
      </c>
      <c r="D183" s="1" t="str">
        <f>"정선애 글;젤리이모 그림"</f>
        <v>정선애 글;젤리이모 그림</v>
      </c>
      <c r="E183" s="1" t="str">
        <f>"아주좋은날"</f>
        <v>아주좋은날</v>
      </c>
      <c r="F183" s="1" t="str">
        <f>"141 p.:천연색삽화;24 cm"</f>
        <v>141 p.:천연색삽화;24 cm</v>
      </c>
      <c r="G183" s="1"/>
    </row>
    <row r="184" spans="1:7" x14ac:dyDescent="0.3">
      <c r="A184" s="1" t="str">
        <f>"어린이도서관"</f>
        <v>어린이도서관</v>
      </c>
      <c r="B184" s="1" t="str">
        <f>"J813.8-서849ㅌ"</f>
        <v>J813.8-서849ㅌ</v>
      </c>
      <c r="C184" s="1" t="str">
        <f>"토토의 무지개 왕국"</f>
        <v>토토의 무지개 왕국</v>
      </c>
      <c r="D184" s="1" t="str">
        <f>"서피랑 글;홍그림 그림"</f>
        <v>서피랑 글;홍그림 그림</v>
      </c>
      <c r="E184" s="1" t="str">
        <f>"주니어김영사 :김영사"</f>
        <v>주니어김영사 :김영사</v>
      </c>
      <c r="F184" s="1" t="str">
        <f>"101 p.:천연색삽화;22 cm"</f>
        <v>101 p.:천연색삽화;22 cm</v>
      </c>
      <c r="G184" s="1"/>
    </row>
    <row r="185" spans="1:7" x14ac:dyDescent="0.3">
      <c r="A185" s="1" t="str">
        <f>"어린이도서관"</f>
        <v>어린이도서관</v>
      </c>
      <c r="B185" s="1" t="str">
        <f>"J873-코238ㅇ"</f>
        <v>J873-코238ㅇ</v>
      </c>
      <c r="C185" s="1" t="str">
        <f>"이야기를 삼킨 괴물 레펠루스"</f>
        <v>이야기를 삼킨 괴물 레펠루스</v>
      </c>
      <c r="D185" s="1" t="str">
        <f>"후아나 코르테스 아무나리스 글;니코 나랑호 그림;남진희 옮김"</f>
        <v>후아나 코르테스 아무나리스 글;니코 나랑호 그림;남진희 옮김</v>
      </c>
      <c r="E185" s="1" t="str">
        <f>"꿈섬(꿈꾸는섬)"</f>
        <v>꿈섬(꿈꾸는섬)</v>
      </c>
      <c r="F185" s="1" t="str">
        <f>"98 p.:천연색삽화;22 cm"</f>
        <v>98 p.:천연색삽화;22 cm</v>
      </c>
      <c r="G185" s="1"/>
    </row>
    <row r="186" spans="1:7" x14ac:dyDescent="0.3">
      <c r="A186" s="1" t="str">
        <f>"어린이도서관"</f>
        <v>어린이도서관</v>
      </c>
      <c r="B186" s="1" t="str">
        <f>"J813.8-박942ㅇ-3"</f>
        <v>J813.8-박942ㅇ-3</v>
      </c>
      <c r="C186" s="1" t="str">
        <f>"이상한 초대장. 3, 소원 문방구의 비밀"</f>
        <v>이상한 초대장. 3, 소원 문방구의 비밀</v>
      </c>
      <c r="D186" s="1" t="str">
        <f>"박현숙 글;국민지 그림"</f>
        <v>박현숙 글;국민지 그림</v>
      </c>
      <c r="E186" s="1" t="str">
        <f>"주니어김영사"</f>
        <v>주니어김영사</v>
      </c>
      <c r="F186" s="1" t="str">
        <f>"164 p.:천연색삽화;21 cm"</f>
        <v>164 p.:천연색삽화;21 cm</v>
      </c>
      <c r="G186" s="1"/>
    </row>
    <row r="187" spans="1:7" x14ac:dyDescent="0.3">
      <c r="A187" s="1" t="str">
        <f>"어린이도서관"</f>
        <v>어린이도서관</v>
      </c>
      <c r="B187" s="1" t="str">
        <f>"J813.8-박942ㅇ-1"</f>
        <v>J813.8-박942ㅇ-1</v>
      </c>
      <c r="C187" s="1" t="str">
        <f>"이상한 초대장. 1, 파란 두건 치킨의 비밀"</f>
        <v>이상한 초대장. 1, 파란 두건 치킨의 비밀</v>
      </c>
      <c r="D187" s="1" t="str">
        <f>"박현숙 글;국민지 그림"</f>
        <v>박현숙 글;국민지 그림</v>
      </c>
      <c r="E187" s="1" t="str">
        <f>"주니어김영사"</f>
        <v>주니어김영사</v>
      </c>
      <c r="F187" s="1" t="str">
        <f>"165 p.:천연색삽화;21 cm"</f>
        <v>165 p.:천연색삽화;21 cm</v>
      </c>
      <c r="G187" s="1"/>
    </row>
    <row r="188" spans="1:7" x14ac:dyDescent="0.3">
      <c r="A188" s="1" t="str">
        <f>"어린이도서관"</f>
        <v>어린이도서관</v>
      </c>
      <c r="B188" s="1" t="str">
        <f>"J813.8-김5714ㅇ"</f>
        <v>J813.8-김5714ㅇ</v>
      </c>
      <c r="C188" s="1" t="str">
        <f>"이상한 책가게"</f>
        <v>이상한 책가게</v>
      </c>
      <c r="D188" s="1" t="str">
        <f>"김숙분 글;김정진 그림"</f>
        <v>김숙분 글;김정진 그림</v>
      </c>
      <c r="E188" s="1" t="str">
        <f>"가문비어린이 :가문비"</f>
        <v>가문비어린이 :가문비</v>
      </c>
      <c r="F188" s="1" t="str">
        <f>"71 p.:천연색삽화;24 cm"</f>
        <v>71 p.:천연색삽화;24 cm</v>
      </c>
      <c r="G188" s="1"/>
    </row>
    <row r="189" spans="1:7" x14ac:dyDescent="0.3">
      <c r="A189" s="1" t="str">
        <f>"어린이도서관"</f>
        <v>어린이도서관</v>
      </c>
      <c r="B189" s="1" t="str">
        <f>"J833.8-이835ㅇ"</f>
        <v>J833.8-이835ㅇ</v>
      </c>
      <c r="C189" s="1" t="str">
        <f>"우리 집 고양이 이야기"</f>
        <v>우리 집 고양이 이야기</v>
      </c>
      <c r="D189" s="1" t="str">
        <f>"이토 미쿠 지음;소시키 다이스케 그림;고향옥 옮김"</f>
        <v>이토 미쿠 지음;소시키 다이스케 그림;고향옥 옮김</v>
      </c>
      <c r="E189" s="1" t="str">
        <f>"그레이트BOOKS"</f>
        <v>그레이트BOOKS</v>
      </c>
      <c r="F189" s="1" t="str">
        <f>"128 p.:삽화;22 cm"</f>
        <v>128 p.:삽화;22 cm</v>
      </c>
      <c r="G189" s="1"/>
    </row>
    <row r="190" spans="1:7" x14ac:dyDescent="0.3">
      <c r="A190" s="1" t="str">
        <f>"어린이도서관"</f>
        <v>어린이도서관</v>
      </c>
      <c r="B190" s="1" t="str">
        <f>"J811.8-김12오"</f>
        <v>J811.8-김12오</v>
      </c>
      <c r="C190" s="1" t="str">
        <f>"오늘의 투명 일기  : 김개미 동시집"</f>
        <v>오늘의 투명 일기  : 김개미 동시집</v>
      </c>
      <c r="D190" s="1" t="str">
        <f>"김개미 시;떵찌 그림"</f>
        <v>김개미 시;떵찌 그림</v>
      </c>
      <c r="E190" s="1" t="str">
        <f>"스푼북"</f>
        <v>스푼북</v>
      </c>
      <c r="F190" s="1" t="str">
        <f>"148 p.:천연색삽화;20 cm"</f>
        <v>148 p.:천연색삽화;20 cm</v>
      </c>
      <c r="G190" s="1"/>
    </row>
    <row r="191" spans="1:7" x14ac:dyDescent="0.3">
      <c r="A191" s="1" t="str">
        <f>"어린이도서관"</f>
        <v>어린이도서관</v>
      </c>
      <c r="B191" s="1" t="str">
        <f>"J813.8-김67215소"</f>
        <v>J813.8-김67215소</v>
      </c>
      <c r="C191" s="1" t="str">
        <f>"소원 취소해 주세요"</f>
        <v>소원 취소해 주세요</v>
      </c>
      <c r="D191" s="1" t="str">
        <f>"김윤경 글;하수정 그림"</f>
        <v>김윤경 글;하수정 그림</v>
      </c>
      <c r="E191" s="1" t="str">
        <f>"웅진주니어"</f>
        <v>웅진주니어</v>
      </c>
      <c r="F191" s="1" t="str">
        <f>"149 p.:천연색삽화;21 cm"</f>
        <v>149 p.:천연색삽화;21 cm</v>
      </c>
      <c r="G191" s="1"/>
    </row>
    <row r="192" spans="1:7" x14ac:dyDescent="0.3">
      <c r="A192" s="1" t="str">
        <f>"어린이도서관"</f>
        <v>어린이도서관</v>
      </c>
      <c r="B192" s="1" t="str">
        <f>"J813.8-김77ㅅ"</f>
        <v>J813.8-김77ㅅ</v>
      </c>
      <c r="C192" s="1" t="str">
        <f>"시간을 굽는 빵집"</f>
        <v>시간을 굽는 빵집</v>
      </c>
      <c r="D192" s="1" t="str">
        <f>"김주현 글;모예진 그림"</f>
        <v>김주현 글;모예진 그림</v>
      </c>
      <c r="E192" s="1" t="str">
        <f>"노란상상"</f>
        <v>노란상상</v>
      </c>
      <c r="F192" s="1" t="str">
        <f>"91 p.:천연색삽화;23 cm"</f>
        <v>91 p.:천연색삽화;23 cm</v>
      </c>
      <c r="G192" s="1"/>
    </row>
    <row r="193" spans="1:7" x14ac:dyDescent="0.3">
      <c r="A193" s="1" t="str">
        <f>"어린이도서관"</f>
        <v>어린이도서관</v>
      </c>
      <c r="B193" s="1" t="str">
        <f>"J813.8-김77상"</f>
        <v>J813.8-김77상</v>
      </c>
      <c r="C193" s="1" t="str">
        <f>"상상을 굽는 빵집"</f>
        <v>상상을 굽는 빵집</v>
      </c>
      <c r="D193" s="1" t="str">
        <f>"김주현 글;모예진 그림"</f>
        <v>김주현 글;모예진 그림</v>
      </c>
      <c r="E193" s="1" t="str">
        <f>"노란상상"</f>
        <v>노란상상</v>
      </c>
      <c r="F193" s="1" t="str">
        <f>"95 p.:천연색삽화;23 cm"</f>
        <v>95 p.:천연색삽화;23 cm</v>
      </c>
      <c r="G193" s="1"/>
    </row>
    <row r="194" spans="1:7" x14ac:dyDescent="0.3">
      <c r="A194" s="1" t="str">
        <f>"어린이도서관"</f>
        <v>어린이도서관</v>
      </c>
      <c r="B194" s="1" t="str">
        <f>"J813.8-장98ㄸ"</f>
        <v>J813.8-장98ㄸ</v>
      </c>
      <c r="C194" s="1" t="str">
        <f>"똥냥이의 변비 처방전"</f>
        <v>똥냥이의 변비 처방전</v>
      </c>
      <c r="D194" s="1" t="str">
        <f>"장희주 글;유지우 그림"</f>
        <v>장희주 글;유지우 그림</v>
      </c>
      <c r="E194" s="1" t="str">
        <f>"반달서재"</f>
        <v>반달서재</v>
      </c>
      <c r="F194" s="1" t="str">
        <f>"92 p.:천연색삽화;22 cm"</f>
        <v>92 p.:천연색삽화;22 cm</v>
      </c>
      <c r="G194" s="1"/>
    </row>
    <row r="195" spans="1:7" x14ac:dyDescent="0.3">
      <c r="A195" s="1" t="str">
        <f>"어린이도서관"</f>
        <v>어린이도서관</v>
      </c>
      <c r="B195" s="1" t="str">
        <f>"J813.8-이7968ㄸ"</f>
        <v>J813.8-이7968ㄸ</v>
      </c>
      <c r="C195" s="1" t="str">
        <f>"또 다른 나를 만나는 곳, 주피터"</f>
        <v>또 다른 나를 만나는 곳, 주피터</v>
      </c>
      <c r="D195" s="1" t="str">
        <f>"이지은 글;하루치 그림"</f>
        <v>이지은 글;하루치 그림</v>
      </c>
      <c r="E195" s="1" t="str">
        <f>"그레이트 Books(그레이트북스)"</f>
        <v>그레이트 Books(그레이트북스)</v>
      </c>
      <c r="F195" s="1" t="str">
        <f>"113 p.:천연색삽화;22 cm"</f>
        <v>113 p.:천연색삽화;22 cm</v>
      </c>
      <c r="G195" s="1"/>
    </row>
    <row r="196" spans="1:7" x14ac:dyDescent="0.3">
      <c r="A196" s="1" t="str">
        <f>"어린이도서관"</f>
        <v>어린이도서관</v>
      </c>
      <c r="B196" s="1" t="str">
        <f>"J813.8-모35ㅁ"</f>
        <v>J813.8-모35ㅁ</v>
      </c>
      <c r="C196" s="1" t="str">
        <f>"마녀 문구점"</f>
        <v>마녀 문구점</v>
      </c>
      <c r="D196" s="1" t="str">
        <f>"모모 글;노아 그림"</f>
        <v>모모 글;노아 그림</v>
      </c>
      <c r="E196" s="1" t="str">
        <f>"가문비어린이 :가문비"</f>
        <v>가문비어린이 :가문비</v>
      </c>
      <c r="F196" s="1" t="str">
        <f>"87 p.:천연색삽화;24 cm"</f>
        <v>87 p.:천연색삽화;24 cm</v>
      </c>
      <c r="G196" s="1"/>
    </row>
    <row r="197" spans="1:7" x14ac:dyDescent="0.3">
      <c r="A197" s="1" t="str">
        <f>"어린이도서관"</f>
        <v>어린이도서관</v>
      </c>
      <c r="B197" s="1" t="str">
        <f>"J813.8-키829ㅃ"</f>
        <v>J813.8-키829ㅃ</v>
      </c>
      <c r="C197" s="1" t="str">
        <f>"삐용삐용 마녀네 덜컹 보건실"</f>
        <v>삐용삐용 마녀네 덜컹 보건실</v>
      </c>
      <c r="D197" s="1" t="str">
        <f>"키키유 글;김민정 그림"</f>
        <v>키키유 글;김민정 그림</v>
      </c>
      <c r="E197" s="1" t="str">
        <f>"고래가 숨쉬는 도서관"</f>
        <v>고래가 숨쉬는 도서관</v>
      </c>
      <c r="F197" s="1" t="str">
        <f>"131 p.:천연색삽화;21 cm"</f>
        <v>131 p.:천연색삽화;21 cm</v>
      </c>
      <c r="G197" s="1"/>
    </row>
    <row r="198" spans="1:7" x14ac:dyDescent="0.3">
      <c r="A198" s="1" t="str">
        <f>"어린이도서관"</f>
        <v>어린이도서관</v>
      </c>
      <c r="B198" s="1" t="str">
        <f>"J321-조98ㅅ"</f>
        <v>J321-조98ㅅ</v>
      </c>
      <c r="C198" s="1" t="str">
        <f>"슬기로운 소비 생활"</f>
        <v>슬기로운 소비 생활</v>
      </c>
      <c r="D198" s="1" t="str">
        <f>"조희정 글;김지하 그림"</f>
        <v>조희정 글;김지하 그림</v>
      </c>
      <c r="E198" s="1" t="str">
        <f>"다림"</f>
        <v>다림</v>
      </c>
      <c r="F198" s="1" t="str">
        <f>"99 p.:천연색삽화;24 cm"</f>
        <v>99 p.:천연색삽화;24 cm</v>
      </c>
      <c r="G198" s="1"/>
    </row>
    <row r="199" spans="1:7" x14ac:dyDescent="0.3">
      <c r="A199" s="1" t="str">
        <f>"어린이도서관"</f>
        <v>어린이도서관</v>
      </c>
      <c r="B199" s="1" t="str">
        <f>"J813.8-이94ㅍ-6"</f>
        <v>J813.8-이94ㅍ-6</v>
      </c>
      <c r="C199" s="1" t="str">
        <f>"푸른 사자 와니니. 6, 수사자 아산테"</f>
        <v>푸른 사자 와니니. 6, 수사자 아산테</v>
      </c>
      <c r="D199" s="1" t="str">
        <f>"이현 지음;오윤화 그림"</f>
        <v>이현 지음;오윤화 그림</v>
      </c>
      <c r="E199" s="1" t="str">
        <f>"창비"</f>
        <v>창비</v>
      </c>
      <c r="F199" s="1" t="str">
        <f>"212 p.:천연색삽화;23 cm"</f>
        <v>212 p.:천연색삽화;23 cm</v>
      </c>
      <c r="G199" s="1"/>
    </row>
    <row r="200" spans="1:7" x14ac:dyDescent="0.3">
      <c r="A200" s="1" t="str">
        <f>"어린이도서관"</f>
        <v>어린이도서관</v>
      </c>
      <c r="B200" s="1" t="str">
        <f>"J813.8-류725ㄱ"</f>
        <v>J813.8-류725ㄱ</v>
      </c>
      <c r="C200" s="1" t="str">
        <f>"기타 등등 동아리를 신청합니다"</f>
        <v>기타 등등 동아리를 신청합니다</v>
      </c>
      <c r="D200" s="1" t="str">
        <f>"류재향 글;모예진 그림"</f>
        <v>류재향 글;모예진 그림</v>
      </c>
      <c r="E200" s="1" t="str">
        <f>"시공주니어 :시공사"</f>
        <v>시공주니어 :시공사</v>
      </c>
      <c r="F200" s="1" t="str">
        <f>"101 p.:천연색삽화;21 cm"</f>
        <v>101 p.:천연색삽화;21 cm</v>
      </c>
      <c r="G200" s="1"/>
    </row>
    <row r="201" spans="1:7" x14ac:dyDescent="0.3">
      <c r="A201" s="1" t="str">
        <f>"어린이도서관"</f>
        <v>어린이도서관</v>
      </c>
      <c r="B201" s="1" t="str">
        <f>"J813.8-강735ㅎ"</f>
        <v>J813.8-강735ㅎ</v>
      </c>
      <c r="C201" s="1" t="str">
        <f>"화관을 쓴 아이"</f>
        <v>화관을 쓴 아이</v>
      </c>
      <c r="D201" s="1" t="str">
        <f>"강제희 글;한은영 그림"</f>
        <v>강제희 글;한은영 그림</v>
      </c>
      <c r="E201" s="1" t="str">
        <f>"내일도맑음"</f>
        <v>내일도맑음</v>
      </c>
      <c r="F201" s="1" t="str">
        <f>"87 p.:천연색삽화;21 cm"</f>
        <v>87 p.:천연색삽화;21 cm</v>
      </c>
      <c r="G201" s="1"/>
    </row>
    <row r="202" spans="1:7" x14ac:dyDescent="0.3">
      <c r="A202" s="1" t="str">
        <f>"어린이도서관"</f>
        <v>어린이도서관</v>
      </c>
      <c r="B202" s="1" t="str">
        <f>"J813.8-한646ㅎ"</f>
        <v>J813.8-한646ㅎ</v>
      </c>
      <c r="C202" s="1" t="str">
        <f>"행운이 툭!"</f>
        <v>행운이 툭!</v>
      </c>
      <c r="D202" s="1" t="str">
        <f>"한영미 글;보라 그림"</f>
        <v>한영미 글;보라 그림</v>
      </c>
      <c r="E202" s="1" t="str">
        <f>"봄마중"</f>
        <v>봄마중</v>
      </c>
      <c r="F202" s="1" t="str">
        <f>"78 p.:천연색삽화;23 cm"</f>
        <v>78 p.:천연색삽화;23 cm</v>
      </c>
      <c r="G202" s="1"/>
    </row>
    <row r="203" spans="1:7" x14ac:dyDescent="0.3">
      <c r="A203" s="1" t="str">
        <f>"어린이도서관"</f>
        <v>어린이도서관</v>
      </c>
      <c r="B203" s="1" t="str">
        <f>"J100-정75ㅇ"</f>
        <v>J100-정75ㅇ</v>
      </c>
      <c r="C203" s="1" t="str">
        <f>"우렁각시 선생님  : 어떻게 하면 창의성을 키울 수 있을까?"</f>
        <v>우렁각시 선생님  : 어떻게 하면 창의성을 키울 수 있을까?</v>
      </c>
      <c r="D203" s="1" t="str">
        <f>"정종영 글;정유나 그림;한지희 해설"</f>
        <v>정종영 글;정유나 그림;한지희 해설</v>
      </c>
      <c r="E203" s="1" t="str">
        <f>"뭉치 :동아엠앤비"</f>
        <v>뭉치 :동아엠앤비</v>
      </c>
      <c r="F203" s="1" t="str">
        <f>"108 p.:천연색삽화, 초상;24 cm"</f>
        <v>108 p.:천연색삽화, 초상;24 cm</v>
      </c>
      <c r="G203" s="1"/>
    </row>
    <row r="204" spans="1:7" x14ac:dyDescent="0.3">
      <c r="A204" s="1" t="str">
        <f>"어린이도서관"</f>
        <v>어린이도서관</v>
      </c>
      <c r="B204" s="1" t="str">
        <f>"J813.8-이68215ㅂ"</f>
        <v>J813.8-이68215ㅂ</v>
      </c>
      <c r="C204" s="1" t="str">
        <f>"반짝반짝 첫 연애"</f>
        <v>반짝반짝 첫 연애</v>
      </c>
      <c r="D204" s="1" t="str">
        <f>"이은서 글;안은진 그림"</f>
        <v>이은서 글;안은진 그림</v>
      </c>
      <c r="E204" s="1" t="str">
        <f>"반달서재"</f>
        <v>반달서재</v>
      </c>
      <c r="F204" s="1" t="str">
        <f>"75 p.:천연색삽화;25 cm"</f>
        <v>75 p.:천연색삽화;25 cm</v>
      </c>
      <c r="G204" s="1"/>
    </row>
    <row r="205" spans="1:7" x14ac:dyDescent="0.3">
      <c r="A205" s="1" t="str">
        <f>"어린이도서관"</f>
        <v>어린이도서관</v>
      </c>
      <c r="B205" s="1" t="str">
        <f>"J873-발435ㅁ"</f>
        <v>J873-발435ㅁ</v>
      </c>
      <c r="C205" s="1" t="str">
        <f>"마트에 사자라니!"</f>
        <v>마트에 사자라니!</v>
      </c>
      <c r="D205" s="1" t="str">
        <f>"미켈 발베르데 글·그림;윤승진 옮김"</f>
        <v>미켈 발베르데 글·그림;윤승진 옮김</v>
      </c>
      <c r="E205" s="1" t="str">
        <f>"머핀북"</f>
        <v>머핀북</v>
      </c>
      <c r="F205" s="1" t="str">
        <f>"55 p.:천연색삽화;22 cm"</f>
        <v>55 p.:천연색삽화;22 cm</v>
      </c>
      <c r="G205" s="1"/>
    </row>
    <row r="206" spans="1:7" x14ac:dyDescent="0.3">
      <c r="A206" s="1" t="str">
        <f>"어린이도서관"</f>
        <v>어린이도서관</v>
      </c>
      <c r="B206" s="1" t="str">
        <f>"J100-정57ㅁ"</f>
        <v>J100-정57ㅁ</v>
      </c>
      <c r="C206" s="1" t="str">
        <f>"마법의 맛모아 사탕 가게  : 소중한 친구를 사귀려면?"</f>
        <v>마법의 맛모아 사탕 가게  : 소중한 친구를 사귀려면?</v>
      </c>
      <c r="D206" s="1" t="str">
        <f>"정순희 글;주세영 그림;강재린 해설"</f>
        <v>정순희 글;주세영 그림;강재린 해설</v>
      </c>
      <c r="E206" s="1" t="str">
        <f>"뭉치 :동아엠앤비"</f>
        <v>뭉치 :동아엠앤비</v>
      </c>
      <c r="F206" s="1" t="str">
        <f>"107 p.:천연색삽화, 초상;24 cm"</f>
        <v>107 p.:천연색삽화, 초상;24 cm</v>
      </c>
      <c r="G206" s="1"/>
    </row>
    <row r="207" spans="1:7" x14ac:dyDescent="0.3">
      <c r="A207" s="1" t="str">
        <f>"어린이도서관"</f>
        <v>어린이도서관</v>
      </c>
      <c r="B207" s="1" t="str">
        <f>"J400-김19ㄷ-1"</f>
        <v>J400-김19ㄷ-1</v>
      </c>
      <c r="C207" s="1" t="str">
        <f>"도꺄비 탐정 탱구. 1, 미스터리한 과학 탐정의 등장"</f>
        <v>도꺄비 탐정 탱구. 1, 미스터리한 과학 탐정의 등장</v>
      </c>
      <c r="D207" s="1" t="str">
        <f>"김기홍 글;허지혜 그림"</f>
        <v>김기홍 글;허지혜 그림</v>
      </c>
      <c r="E207" s="1" t="str">
        <f>"웅진주니어 :웅진씽크빅"</f>
        <v>웅진주니어 :웅진씽크빅</v>
      </c>
      <c r="F207" s="1" t="str">
        <f>"138 p.:천연색삽화;22 cm"</f>
        <v>138 p.:천연색삽화;22 cm</v>
      </c>
      <c r="G207" s="1"/>
    </row>
    <row r="208" spans="1:7" x14ac:dyDescent="0.3">
      <c r="A208" s="1" t="str">
        <f>"어린이도서관"</f>
        <v>어린이도서관</v>
      </c>
      <c r="B208" s="1" t="str">
        <f>"J813.8-한646ㅂ"</f>
        <v>J813.8-한646ㅂ</v>
      </c>
      <c r="C208" s="1" t="str">
        <f>"비밀을 들어 주는 대나무 숲"</f>
        <v>비밀을 들어 주는 대나무 숲</v>
      </c>
      <c r="D208" s="1" t="str">
        <f>"한영미 글;이주미 그림"</f>
        <v>한영미 글;이주미 그림</v>
      </c>
      <c r="E208" s="1" t="str">
        <f>"키다리"</f>
        <v>키다리</v>
      </c>
      <c r="F208" s="1" t="str">
        <f>"97 p.:천연색삽화;23 cm"</f>
        <v>97 p.:천연색삽화;23 cm</v>
      </c>
      <c r="G208" s="1"/>
    </row>
    <row r="209" spans="1:7" x14ac:dyDescent="0.3">
      <c r="A209" s="1" t="str">
        <f>"어린이도서관"</f>
        <v>어린이도서관</v>
      </c>
      <c r="B209" s="1" t="str">
        <f>"J404-서79ㄱ-1"</f>
        <v>J404-서79ㄱ-1</v>
      </c>
      <c r="C209" s="1" t="str">
        <f>"고구마 탐정 과학. 1, 사라진 대왕 진주 귀걸이"</f>
        <v>고구마 탐정 과학. 1, 사라진 대왕 진주 귀걸이</v>
      </c>
      <c r="D209" s="1" t="str">
        <f>"서지원 글;이승연 그림"</f>
        <v>서지원 글;이승연 그림</v>
      </c>
      <c r="E209" s="1" t="str">
        <f>"스푼북"</f>
        <v>스푼북</v>
      </c>
      <c r="F209" s="1" t="str">
        <f>"111 p.:천연색삽화;22 cm"</f>
        <v>111 p.:천연색삽화;22 cm</v>
      </c>
      <c r="G209" s="1"/>
    </row>
    <row r="210" spans="1:7" x14ac:dyDescent="0.3">
      <c r="A210" s="1" t="str">
        <f>"어린이도서관"</f>
        <v>어린이도서관</v>
      </c>
      <c r="B210" s="1" t="str">
        <f>"J404-서79ㄱ-2"</f>
        <v>J404-서79ㄱ-2</v>
      </c>
      <c r="C210" s="1" t="str">
        <f>"고구마 탐정 과학. 2, 비듬마을에 나타난 코브라"</f>
        <v>고구마 탐정 과학. 2, 비듬마을에 나타난 코브라</v>
      </c>
      <c r="D210" s="1" t="str">
        <f>"서지원 글;이승연 그림"</f>
        <v>서지원 글;이승연 그림</v>
      </c>
      <c r="E210" s="1" t="str">
        <f>"스푼북"</f>
        <v>스푼북</v>
      </c>
      <c r="F210" s="1" t="str">
        <f>"144 p.:천연색삽화;22 cm"</f>
        <v>144 p.:천연색삽화;22 cm</v>
      </c>
      <c r="G210" s="1"/>
    </row>
    <row r="211" spans="1:7" x14ac:dyDescent="0.3">
      <c r="A211" s="1" t="str">
        <f>"어린이도서관"</f>
        <v>어린이도서관</v>
      </c>
      <c r="B211" s="1" t="str">
        <f>"J404-서79ㄱ-3"</f>
        <v>J404-서79ㄱ-3</v>
      </c>
      <c r="C211" s="1" t="str">
        <f>"고구마 탐정 과학. 3, 파라오의 보물을 지켜라!"</f>
        <v>고구마 탐정 과학. 3, 파라오의 보물을 지켜라!</v>
      </c>
      <c r="D211" s="1" t="str">
        <f>"서지원 글;이승연 그림"</f>
        <v>서지원 글;이승연 그림</v>
      </c>
      <c r="E211" s="1" t="str">
        <f>"스푼북"</f>
        <v>스푼북</v>
      </c>
      <c r="F211" s="1" t="str">
        <f>"112 p.:천연색삽화;21 cm"</f>
        <v>112 p.:천연색삽화;21 cm</v>
      </c>
      <c r="G211" s="1"/>
    </row>
    <row r="212" spans="1:7" x14ac:dyDescent="0.3">
      <c r="A212" s="1" t="str">
        <f>"어린이도서관"</f>
        <v>어린이도서관</v>
      </c>
      <c r="B212" s="1" t="str">
        <f>"J813.8-정695ㅇ"</f>
        <v>J813.8-정695ㅇ</v>
      </c>
      <c r="C212" s="1" t="str">
        <f>"1학년 3반 김송이입니다!"</f>
        <v>1학년 3반 김송이입니다!</v>
      </c>
      <c r="D212" s="1" t="str">
        <f>"정이립 지음;신지영 그림"</f>
        <v>정이립 지음;신지영 그림</v>
      </c>
      <c r="E212" s="1" t="str">
        <f>"바람의아이들"</f>
        <v>바람의아이들</v>
      </c>
      <c r="F212" s="1" t="str">
        <f>"52 p.:천연색삽화;21 cm"</f>
        <v>52 p.:천연색삽화;21 cm</v>
      </c>
      <c r="G212" s="1"/>
    </row>
    <row r="213" spans="1:7" x14ac:dyDescent="0.3">
      <c r="A213" s="1" t="str">
        <f>"어린이도서관"</f>
        <v>어린이도서관</v>
      </c>
      <c r="B213" s="1" t="str">
        <f>"J813.8-서79ㅎ-2"</f>
        <v>J813.8-서79ㅎ-2</v>
      </c>
      <c r="C213" s="1" t="str">
        <f>"(신비한) 호랑이 빵집. 2, 신단 마을의 위기"</f>
        <v>(신비한) 호랑이 빵집. 2, 신단 마을의 위기</v>
      </c>
      <c r="D213" s="1" t="str">
        <f>"서지원 글;홍그림 그림"</f>
        <v>서지원 글;홍그림 그림</v>
      </c>
      <c r="E213" s="1" t="str">
        <f>"아르볼"</f>
        <v>아르볼</v>
      </c>
      <c r="F213" s="1" t="str">
        <f>"112 p.:천연색삽화;22 cm"</f>
        <v>112 p.:천연색삽화;22 cm</v>
      </c>
      <c r="G213" s="1"/>
    </row>
    <row r="214" spans="1:7" x14ac:dyDescent="0.3">
      <c r="A214" s="1" t="str">
        <f>"어린이도서관"</f>
        <v>어린이도서관</v>
      </c>
      <c r="B214" s="1" t="str">
        <f>"J813.8-윤79ㅂ"</f>
        <v>J813.8-윤79ㅂ</v>
      </c>
      <c r="C214" s="1" t="str">
        <f>"방긋 아기씨 [그림책]"</f>
        <v>방긋 아기씨 [그림책]</v>
      </c>
      <c r="D214" s="1" t="str">
        <f>"윤지회 글·그림"</f>
        <v>윤지회 글·그림</v>
      </c>
      <c r="E214" s="1" t="str">
        <f>"사계절"</f>
        <v>사계절</v>
      </c>
      <c r="F214" s="1" t="str">
        <f>"1책:천연색삽화;34 cm"</f>
        <v>1책:천연색삽화;34 cm</v>
      </c>
      <c r="G214" s="1"/>
    </row>
    <row r="215" spans="1:7" x14ac:dyDescent="0.3">
      <c r="A215" s="1" t="str">
        <f>"어린이도서관"</f>
        <v>어린이도서관</v>
      </c>
      <c r="B215" s="1" t="str">
        <f>"J833.8-마586ㅅ"</f>
        <v>J833.8-마586ㅅ</v>
      </c>
      <c r="C215" s="1" t="str">
        <f>"시간 계단 [그림책]"</f>
        <v>시간 계단 [그림책]</v>
      </c>
      <c r="D215" s="1" t="str">
        <f>"마스다 미리 글;히라사와 잇페이 그림;김수정 옮김"</f>
        <v>마스다 미리 글;히라사와 잇페이 그림;김수정 옮김</v>
      </c>
      <c r="E215" s="1" t="str">
        <f>"키위북스"</f>
        <v>키위북스</v>
      </c>
      <c r="F215" s="1" t="str">
        <f>"[33] p.:천연색삽화;31 cm"</f>
        <v>[33] p.:천연색삽화;31 cm</v>
      </c>
      <c r="G215" s="1"/>
    </row>
    <row r="216" spans="1:7" x14ac:dyDescent="0.3">
      <c r="A216" s="1" t="str">
        <f>"어린이도서관"</f>
        <v>어린이도서관</v>
      </c>
      <c r="B216" s="1" t="str">
        <f>"J539-이34ㅁ"</f>
        <v>J539-이34ㅁ</v>
      </c>
      <c r="C216" s="1" t="str">
        <f>"(작지만 무서워!)미세 플라스틱"</f>
        <v>(작지만 무서워!)미세 플라스틱</v>
      </c>
      <c r="D216" s="1" t="str">
        <f>"이명희 지음;김영진 그림"</f>
        <v>이명희 지음;김영진 그림</v>
      </c>
      <c r="E216" s="1" t="str">
        <f>"아르볼"</f>
        <v>아르볼</v>
      </c>
      <c r="F216" s="1" t="str">
        <f>"112 p.:삽화;25 cm"</f>
        <v>112 p.:삽화;25 cm</v>
      </c>
      <c r="G216" s="1"/>
    </row>
    <row r="217" spans="1:7" x14ac:dyDescent="0.3">
      <c r="A217" s="1" t="str">
        <f>"어린이도서관"</f>
        <v>어린이도서관</v>
      </c>
      <c r="B217" s="1" t="str">
        <f>"J813.8-안573ㅇ"</f>
        <v>J813.8-안573ㅇ</v>
      </c>
      <c r="C217" s="1" t="str">
        <f>"5월의 1학년"</f>
        <v>5월의 1학년</v>
      </c>
      <c r="D217" s="1" t="str">
        <f>"안수민 글;차상미 그림"</f>
        <v>안수민 글;차상미 그림</v>
      </c>
      <c r="E217" s="1" t="str">
        <f>"소원나무"</f>
        <v>소원나무</v>
      </c>
      <c r="F217" s="1" t="str">
        <f>"72 p.:천연색삽화;24 cm"</f>
        <v>72 p.:천연색삽화;24 cm</v>
      </c>
      <c r="G217" s="1"/>
    </row>
    <row r="218" spans="1:7" x14ac:dyDescent="0.3">
      <c r="A218" s="1" t="str">
        <f>"어린이도서관"</f>
        <v>어린이도서관</v>
      </c>
      <c r="B218" s="1" t="str">
        <f>"J813.8-신7321ㄴ"</f>
        <v>J813.8-신7321ㄴ</v>
      </c>
      <c r="C218" s="1" t="str">
        <f>"너의 이름은 빠사삭"</f>
        <v>너의 이름은 빠사삭</v>
      </c>
      <c r="D218" s="1" t="str">
        <f>"신전향 글;인디 그림"</f>
        <v>신전향 글;인디 그림</v>
      </c>
      <c r="E218" s="1" t="str">
        <f>"소원나무"</f>
        <v>소원나무</v>
      </c>
      <c r="F218" s="1" t="str">
        <f>"80 p.:천연색삽화;233 cm"</f>
        <v>80 p.:천연색삽화;233 cm</v>
      </c>
      <c r="G218" s="1"/>
    </row>
    <row r="219" spans="1:7" x14ac:dyDescent="0.3">
      <c r="A219" s="1" t="str">
        <f>"어린이도서관"</f>
        <v>어린이도서관</v>
      </c>
      <c r="B219" s="1" t="str">
        <f>"J813.8-오228ㅁ"</f>
        <v>J813.8-오228ㅁ</v>
      </c>
      <c r="C219" s="1" t="str">
        <f>"마법의 코끼리똥 일기장"</f>
        <v>마법의 코끼리똥 일기장</v>
      </c>
      <c r="D219" s="1" t="str">
        <f>"오드 글;시미씨 그림"</f>
        <v>오드 글;시미씨 그림</v>
      </c>
      <c r="E219" s="1" t="str">
        <f>"소원나무"</f>
        <v>소원나무</v>
      </c>
      <c r="F219" s="1" t="str">
        <f>"84 p.:천연색삽화;24 cm"</f>
        <v>84 p.:천연색삽화;24 cm</v>
      </c>
      <c r="G219" s="1"/>
    </row>
    <row r="220" spans="1:7" x14ac:dyDescent="0.3">
      <c r="A220" s="1" t="str">
        <f>"어린이도서관"</f>
        <v>어린이도서관</v>
      </c>
      <c r="B220" s="1" t="str">
        <f>"J813.8-박53215ㅋ"</f>
        <v>J813.8-박53215ㅋ</v>
      </c>
      <c r="C220" s="1" t="str">
        <f>"크리스마스 돌아오다"</f>
        <v>크리스마스 돌아오다</v>
      </c>
      <c r="D220" s="1" t="str">
        <f>"박선화 지음;국민지 그림"</f>
        <v>박선화 지음;국민지 그림</v>
      </c>
      <c r="E220" s="1" t="str">
        <f>"소원나무"</f>
        <v>소원나무</v>
      </c>
      <c r="F220" s="1" t="str">
        <f>"84 p.:천연색삽화;24 cm"</f>
        <v>84 p.:천연색삽화;24 cm</v>
      </c>
      <c r="G220" s="1"/>
    </row>
    <row r="221" spans="1:7" x14ac:dyDescent="0.3">
      <c r="A221" s="1" t="str">
        <f>"어린이도서관"</f>
        <v>어린이도서관</v>
      </c>
      <c r="B221" s="1" t="str">
        <f>"J813.8-백94이"</f>
        <v>J813.8-백94이</v>
      </c>
      <c r="C221" s="1" t="str">
        <f>"이 선을 넘지 말아 줄래? [그림책]"</f>
        <v>이 선을 넘지 말아 줄래? [그림책]</v>
      </c>
      <c r="D221" s="1" t="str">
        <f>"백혜영 지음"</f>
        <v>백혜영 지음</v>
      </c>
      <c r="E221" s="1" t="str">
        <f>"한울림어린이 :한울림"</f>
        <v>한울림어린이 :한울림</v>
      </c>
      <c r="F221" s="1" t="str">
        <f>"[33] p.:천연색삽화;26 cm"</f>
        <v>[33] p.:천연색삽화;26 cm</v>
      </c>
      <c r="G221" s="1"/>
    </row>
    <row r="222" spans="1:7" x14ac:dyDescent="0.3">
      <c r="A222" s="1" t="str">
        <f>"어린이도서관"</f>
        <v>어린이도서관</v>
      </c>
      <c r="B222" s="1" t="str">
        <f>"J813.8-오946ㅅ"</f>
        <v>J813.8-오946ㅅ</v>
      </c>
      <c r="C222" s="1" t="str">
        <f>"생일을 훔치는 녀석"</f>
        <v>생일을 훔치는 녀석</v>
      </c>
      <c r="D222" s="1" t="str">
        <f>"오혜원 글;박현주 그림"</f>
        <v>오혜원 글;박현주 그림</v>
      </c>
      <c r="E222" s="1" t="str">
        <f>"보랏빛소어린이"</f>
        <v>보랏빛소어린이</v>
      </c>
      <c r="F222" s="1" t="str">
        <f>"164 p.:천연색삽화;23 cm"</f>
        <v>164 p.:천연색삽화;23 cm</v>
      </c>
      <c r="G222" s="1"/>
    </row>
    <row r="223" spans="1:7" x14ac:dyDescent="0.3">
      <c r="A223" s="1" t="str">
        <f>"어린이도서관"</f>
        <v>어린이도서관</v>
      </c>
      <c r="B223" s="1" t="str">
        <f>"J813.8-신94211ㅇ"</f>
        <v>J813.8-신94211ㅇ</v>
      </c>
      <c r="C223" s="1" t="str">
        <f>"야옹이 수영 교실"</f>
        <v>야옹이 수영 교실</v>
      </c>
      <c r="D223" s="1" t="str">
        <f>"신현경 글;노예지 그림"</f>
        <v>신현경 글;노예지 그림</v>
      </c>
      <c r="E223" s="1" t="str">
        <f>"북스그라운드 :인플루엔셜"</f>
        <v>북스그라운드 :인플루엔셜</v>
      </c>
      <c r="F223" s="1" t="str">
        <f>"67 p.:천연색삽화;23 cm"</f>
        <v>67 p.:천연색삽화;23 cm</v>
      </c>
      <c r="G223" s="1"/>
    </row>
    <row r="224" spans="1:7" x14ac:dyDescent="0.3">
      <c r="A224" s="1" t="str">
        <f>"어린이도서관"</f>
        <v>어린이도서관</v>
      </c>
      <c r="B224" s="1" t="str">
        <f>"J833.8-나821ㅈ"</f>
        <v>J833.8-나821ㅈ</v>
      </c>
      <c r="C224" s="1" t="str">
        <f>"작은 민들레씨 포포와 이끼 친구들 [그림책]"</f>
        <v>작은 민들레씨 포포와 이끼 친구들 [그림책]</v>
      </c>
      <c r="D224" s="1" t="str">
        <f>"나카야 미와 글·그림;유지은 옮김"</f>
        <v>나카야 미와 글·그림;유지은 옮김</v>
      </c>
      <c r="E224" s="1" t="str">
        <f>"웅진주니어 :웅진씽크빅"</f>
        <v>웅진주니어 :웅진씽크빅</v>
      </c>
      <c r="F224" s="1" t="str">
        <f>"[40] p.:천연색삽화;20 x 29 cm"</f>
        <v>[40] p.:천연색삽화;20 x 29 cm</v>
      </c>
      <c r="G224" s="1"/>
    </row>
    <row r="225" spans="1:7" x14ac:dyDescent="0.3">
      <c r="A225" s="1" t="str">
        <f>"어린이도서관"</f>
        <v>어린이도서관</v>
      </c>
      <c r="B225" s="1" t="str">
        <f>"J813.8-김927ㄴ"</f>
        <v>J813.8-김927ㄴ</v>
      </c>
      <c r="C225" s="1" t="str">
        <f>"나는 여덟 살, 학교에 갑니다"</f>
        <v>나는 여덟 살, 학교에 갑니다</v>
      </c>
      <c r="D225" s="1" t="str">
        <f>"김해선 글·그림"</f>
        <v>김해선 글·그림</v>
      </c>
      <c r="E225" s="1" t="str">
        <f>"주니어김영사:김영사"</f>
        <v>주니어김영사:김영사</v>
      </c>
      <c r="F225" s="1" t="str">
        <f>"117 p.:삽화;23 cm"</f>
        <v>117 p.:삽화;23 cm</v>
      </c>
      <c r="G225" s="1"/>
    </row>
    <row r="226" spans="1:7" x14ac:dyDescent="0.3">
      <c r="A226" s="1" t="str">
        <f>"어린이도서관"</f>
        <v>어린이도서관</v>
      </c>
      <c r="B226" s="1" t="str">
        <f>"J911-사96만-1"</f>
        <v>J911-사96만-1</v>
      </c>
      <c r="C226" s="1" t="str">
        <f>"용선생 만화 한국사. 1, 우리 역사의 시작"</f>
        <v>용선생 만화 한국사. 1, 우리 역사의 시작</v>
      </c>
      <c r="D226" s="1" t="str">
        <f>"정상민,이홍석,박종권,박해성 글;뭉선생 그림"</f>
        <v>정상민,이홍석,박종권,박해성 글;뭉선생 그림</v>
      </c>
      <c r="E226" s="1" t="str">
        <f>"사회평론"</f>
        <v>사회평론</v>
      </c>
      <c r="F226" s="1" t="str">
        <f>"245 p.:전부천연색삽화, 계보, 지도, 초상;26 cm"</f>
        <v>245 p.:전부천연색삽화, 계보, 지도, 초상;26 cm</v>
      </c>
      <c r="G226" s="1"/>
    </row>
    <row r="227" spans="1:7" x14ac:dyDescent="0.3">
      <c r="A227" s="1" t="str">
        <f>"어린이도서관"</f>
        <v>어린이도서관</v>
      </c>
      <c r="B227" s="1" t="str">
        <f>"J911-사96만-2"</f>
        <v>J911-사96만-2</v>
      </c>
      <c r="C227" s="1" t="str">
        <f>"용선생 만화 한국사. 2, 삼국 시대Ⅰ"</f>
        <v>용선생 만화 한국사. 2, 삼국 시대Ⅰ</v>
      </c>
      <c r="D227" s="1" t="str">
        <f>"정상민,이홍석,박종권,박해성 글;강신영 그림;김옥재 일러스트"</f>
        <v>정상민,이홍석,박종권,박해성 글;강신영 그림;김옥재 일러스트</v>
      </c>
      <c r="E227" s="1" t="str">
        <f>"사회평론"</f>
        <v>사회평론</v>
      </c>
      <c r="F227" s="1" t="str">
        <f>"247 p.:전부천연색삽화, 연표;26 cm"</f>
        <v>247 p.:전부천연색삽화, 연표;26 cm</v>
      </c>
      <c r="G227" s="1"/>
    </row>
    <row r="228" spans="1:7" x14ac:dyDescent="0.3">
      <c r="A228" s="1" t="str">
        <f>"어린이도서관"</f>
        <v>어린이도서관</v>
      </c>
      <c r="B228" s="1" t="str">
        <f>"J911-사96만-3"</f>
        <v>J911-사96만-3</v>
      </c>
      <c r="C228" s="1" t="str">
        <f>"용선생 만화 한국사. 3, 삼국 시대Ⅱ"</f>
        <v>용선생 만화 한국사. 3, 삼국 시대Ⅱ</v>
      </c>
      <c r="D228" s="1" t="str">
        <f>"정상민,이홍석,박동명,박종권,박해성 글;강신영 그림"</f>
        <v>정상민,이홍석,박동명,박종권,박해성 글;강신영 그림</v>
      </c>
      <c r="E228" s="1" t="str">
        <f>"사회평론"</f>
        <v>사회평론</v>
      </c>
      <c r="F228" s="1" t="str">
        <f>"263 p.:전부천연색삽화, 계보, 지도, 초상;26 cm"</f>
        <v>263 p.:전부천연색삽화, 계보, 지도, 초상;26 cm</v>
      </c>
      <c r="G228" s="1"/>
    </row>
    <row r="229" spans="1:7" x14ac:dyDescent="0.3">
      <c r="A229" s="1" t="str">
        <f>"어린이도서관"</f>
        <v>어린이도서관</v>
      </c>
      <c r="B229" s="1" t="str">
        <f>"J911-사96만-4"</f>
        <v>J911-사96만-4</v>
      </c>
      <c r="C229" s="1" t="str">
        <f>"용선생 만화 한국사. 4, 남북국 시대"</f>
        <v>용선생 만화 한국사. 4, 남북국 시대</v>
      </c>
      <c r="D229" s="1" t="str">
        <f>"박동명,정상민,송용운 글;문정완 그림"</f>
        <v>박동명,정상민,송용운 글;문정완 그림</v>
      </c>
      <c r="E229" s="1" t="str">
        <f>"사회평론"</f>
        <v>사회평론</v>
      </c>
      <c r="F229" s="1" t="str">
        <f>"251 p.:전부천연색삽화, 계보;26 cm"</f>
        <v>251 p.:전부천연색삽화, 계보;26 cm</v>
      </c>
      <c r="G229" s="1"/>
    </row>
    <row r="230" spans="1:7" x14ac:dyDescent="0.3">
      <c r="A230" s="1" t="str">
        <f>"어린이도서관"</f>
        <v>어린이도서관</v>
      </c>
      <c r="B230" s="1" t="str">
        <f>"J911-사96만-5"</f>
        <v>J911-사96만-5</v>
      </c>
      <c r="C230" s="1" t="str">
        <f>"용선생 만화 한국사. 5, 고려 시대 Ⅰ"</f>
        <v>용선생 만화 한국사. 5, 고려 시대 Ⅰ</v>
      </c>
      <c r="D230" s="1" t="str">
        <f>"이홍석,박동명 글,송용운;박성환,김지연 그림"</f>
        <v>이홍석,박동명 글,송용운;박성환,김지연 그림</v>
      </c>
      <c r="E230" s="1" t="str">
        <f>"사회평론"</f>
        <v>사회평론</v>
      </c>
      <c r="F230" s="1" t="str">
        <f>"256 p.:전부천연색삽화, 계보;26 cm"</f>
        <v>256 p.:전부천연색삽화, 계보;26 cm</v>
      </c>
      <c r="G230" s="1"/>
    </row>
    <row r="231" spans="1:7" x14ac:dyDescent="0.3">
      <c r="A231" s="1" t="str">
        <f>"어린이도서관"</f>
        <v>어린이도서관</v>
      </c>
      <c r="B231" s="1" t="str">
        <f>"J911-사96만-6"</f>
        <v>J911-사96만-6</v>
      </c>
      <c r="C231" s="1" t="str">
        <f>"용선생 만화 한국사. 6, 고려 시대 Ⅱ"</f>
        <v>용선생 만화 한국사. 6, 고려 시대 Ⅱ</v>
      </c>
      <c r="D231" s="1" t="str">
        <f>"이홍석,박동명,송용운,박종권 글;강신영 그림"</f>
        <v>이홍석,박동명,송용운,박종권 글;강신영 그림</v>
      </c>
      <c r="E231" s="1" t="str">
        <f>"사회평론"</f>
        <v>사회평론</v>
      </c>
      <c r="F231" s="1" t="str">
        <f>"248 p.:전부천연색삽화, 계보;26 cm"</f>
        <v>248 p.:전부천연색삽화, 계보;26 cm</v>
      </c>
      <c r="G231" s="1"/>
    </row>
    <row r="232" spans="1:7" x14ac:dyDescent="0.3">
      <c r="A232" s="1" t="str">
        <f>"어린이도서관"</f>
        <v>어린이도서관</v>
      </c>
      <c r="B232" s="1" t="str">
        <f>"J911-사96만-7"</f>
        <v>J911-사96만-7</v>
      </c>
      <c r="C232" s="1" t="str">
        <f>"용선생 만화 한국사. 7, 조선시대 Ⅰ"</f>
        <v>용선생 만화 한국사. 7, 조선시대 Ⅰ</v>
      </c>
      <c r="D232" s="1" t="str">
        <f>"이홍석,송용운,강영철 글;뭉선생,윤효식 그림;김옥재 일러스트"</f>
        <v>이홍석,송용운,강영철 글;뭉선생,윤효식 그림;김옥재 일러스트</v>
      </c>
      <c r="E232" s="1" t="str">
        <f>"사회평론"</f>
        <v>사회평론</v>
      </c>
      <c r="F232" s="1" t="str">
        <f>"248 p.:전부천연색삽화, 계보;26 cm"</f>
        <v>248 p.:전부천연색삽화, 계보;26 cm</v>
      </c>
      <c r="G232" s="1"/>
    </row>
    <row r="233" spans="1:7" x14ac:dyDescent="0.3">
      <c r="A233" s="1" t="str">
        <f>"어린이도서관"</f>
        <v>어린이도서관</v>
      </c>
      <c r="B233" s="1" t="str">
        <f>"J911-사96만-8"</f>
        <v>J911-사96만-8</v>
      </c>
      <c r="C233" s="1" t="str">
        <f>"용선생 만화 한국사. 8, 조선시대 Ⅱ"</f>
        <v>용선생 만화 한국사. 8, 조선시대 Ⅱ</v>
      </c>
      <c r="D233" s="1" t="str">
        <f>"이홍석,송용운,박동명,박승현 글;주성윤 그림;김옥재 일러스트"</f>
        <v>이홍석,송용운,박동명,박승현 글;주성윤 그림;김옥재 일러스트</v>
      </c>
      <c r="E233" s="1" t="str">
        <f>"사회평론"</f>
        <v>사회평론</v>
      </c>
      <c r="F233" s="1" t="str">
        <f>"251 p.:전부천연색삽화, 연표;26 cm"</f>
        <v>251 p.:전부천연색삽화, 연표;26 cm</v>
      </c>
      <c r="G233" s="1"/>
    </row>
    <row r="234" spans="1:7" x14ac:dyDescent="0.3">
      <c r="A234" s="1" t="str">
        <f>"어린이도서관"</f>
        <v>어린이도서관</v>
      </c>
      <c r="B234" s="1" t="str">
        <f>"J911-사96만-9"</f>
        <v>J911-사96만-9</v>
      </c>
      <c r="C234" s="1" t="str">
        <f>"용선생 만화 한국사. 9, 조선시대 Ⅲ"</f>
        <v>용선생 만화 한국사. 9, 조선시대 Ⅲ</v>
      </c>
      <c r="D234" s="1" t="str">
        <f>"정윤희,박승현 글;김지연,박성환 그림;김옥재 일러스트"</f>
        <v>정윤희,박승현 글;김지연,박성환 그림;김옥재 일러스트</v>
      </c>
      <c r="E234" s="1" t="str">
        <f>"사회평론"</f>
        <v>사회평론</v>
      </c>
      <c r="F234" s="1" t="str">
        <f>"251 p.:전부천연색삽화, 연표;26 cm"</f>
        <v>251 p.:전부천연색삽화, 연표;26 cm</v>
      </c>
      <c r="G234" s="1"/>
    </row>
    <row r="235" spans="1:7" x14ac:dyDescent="0.3">
      <c r="A235" s="1" t="str">
        <f>"어린이도서관"</f>
        <v>어린이도서관</v>
      </c>
      <c r="B235" s="1" t="str">
        <f>"J911-사96만-10"</f>
        <v>J911-사96만-10</v>
      </c>
      <c r="C235" s="1" t="str">
        <f>"용선생 만화 한국사. 10, 개항기"</f>
        <v>용선생 만화 한국사. 10, 개항기</v>
      </c>
      <c r="D235" s="1" t="str">
        <f>"이홍석,이준범 글;주성윤 그림;김옥재 일러스트"</f>
        <v>이홍석,이준범 글;주성윤 그림;김옥재 일러스트</v>
      </c>
      <c r="E235" s="1" t="str">
        <f>"사회평론"</f>
        <v>사회평론</v>
      </c>
      <c r="F235" s="1" t="str">
        <f>"267 p.:전부천연색삽화, 연표;26 cm"</f>
        <v>267 p.:전부천연색삽화, 연표;26 cm</v>
      </c>
      <c r="G235" s="1"/>
    </row>
    <row r="236" spans="1:7" x14ac:dyDescent="0.3">
      <c r="A236" s="1" t="str">
        <f>"어린이도서관"</f>
        <v>어린이도서관</v>
      </c>
      <c r="B236" s="1" t="str">
        <f>"J911-사96만-11"</f>
        <v>J911-사96만-11</v>
      </c>
      <c r="C236" s="1" t="str">
        <f>"용선생 만화 한국사. 11, 일제 강점기"</f>
        <v>용선생 만화 한국사. 11, 일제 강점기</v>
      </c>
      <c r="D236" s="1" t="str">
        <f>"박동명 [외]글;강신영 그림;박은희 일러스트;북앤포토 사진"</f>
        <v>박동명 [외]글;강신영 그림;박은희 일러스트;북앤포토 사진</v>
      </c>
      <c r="E236" s="1" t="str">
        <f>"사회평론"</f>
        <v>사회평론</v>
      </c>
      <c r="F236" s="1" t="str">
        <f>"261 p.:전부천연색삽화, 연표, 사진;26 cm"</f>
        <v>261 p.:전부천연색삽화, 연표, 사진;26 cm</v>
      </c>
      <c r="G236" s="1"/>
    </row>
    <row r="237" spans="1:7" x14ac:dyDescent="0.3">
      <c r="A237" s="1" t="str">
        <f>"어린이도서관"</f>
        <v>어린이도서관</v>
      </c>
      <c r="B237" s="1" t="str">
        <f>"J911-사96만-12"</f>
        <v>J911-사96만-12</v>
      </c>
      <c r="C237" s="1" t="str">
        <f>"용선생 만화 한국사. 12, 현대"</f>
        <v>용선생 만화 한국사. 12, 현대</v>
      </c>
      <c r="D237" s="1" t="str">
        <f>"송용운,이홍석,박동명,정윤희,정상민 글;뭉선생,윤효식 그림;박은희 일러스트"</f>
        <v>송용운,이홍석,박동명,정윤희,정상민 글;뭉선생,윤효식 그림;박은희 일러스트</v>
      </c>
      <c r="E237" s="1" t="str">
        <f>"사회평론"</f>
        <v>사회평론</v>
      </c>
      <c r="F237" s="1" t="str">
        <f>"267 p.:전부천연색삽화, 연표;26 cm"</f>
        <v>267 p.:전부천연색삽화, 연표;26 cm</v>
      </c>
      <c r="G237" s="1"/>
    </row>
    <row r="238" spans="1:7" x14ac:dyDescent="0.3">
      <c r="A238" s="1" t="str">
        <f>"어린이도서관"</f>
        <v>어린이도서관</v>
      </c>
      <c r="B238" s="1" t="str">
        <f>"J181-황79ㅂ"</f>
        <v>J181-황79ㅂ</v>
      </c>
      <c r="C238" s="1" t="str">
        <f>"부글부글 빨간불 [그림책]"</f>
        <v>부글부글 빨간불 [그림책]</v>
      </c>
      <c r="D238" s="1" t="str">
        <f>"황진희 글;권혜상 그림"</f>
        <v>황진희 글;권혜상 그림</v>
      </c>
      <c r="E238" s="1" t="str">
        <f>"교육과실천"</f>
        <v>교육과실천</v>
      </c>
      <c r="F238" s="1" t="str">
        <f>"[32] p.:천연색삽화;28 cm"</f>
        <v>[32] p.:천연색삽화;28 cm</v>
      </c>
      <c r="G238" s="1"/>
    </row>
    <row r="239" spans="1:7" x14ac:dyDescent="0.3">
      <c r="A239" s="1" t="str">
        <f>"어린이도서관"</f>
        <v>어린이도서관</v>
      </c>
      <c r="B239" s="1" t="str">
        <f>"J342-달41ㄴ"</f>
        <v>J342-달41ㄴ</v>
      </c>
      <c r="C239" s="1" t="str">
        <f>"나에겐 권리가 있어요"</f>
        <v>나에겐 권리가 있어요</v>
      </c>
      <c r="D239" s="1" t="str">
        <f>"레자 달반드 글·그림;이세진 옮김"</f>
        <v>레자 달반드 글·그림;이세진 옮김</v>
      </c>
      <c r="E239" s="1" t="str">
        <f>"책연어린이"</f>
        <v>책연어린이</v>
      </c>
      <c r="F239" s="1" t="str">
        <f>"[44] p.:천연색삽화;25 cm"</f>
        <v>[44] p.:천연색삽화;25 cm</v>
      </c>
      <c r="G239" s="1"/>
    </row>
    <row r="240" spans="1:7" x14ac:dyDescent="0.3">
      <c r="A240" s="1" t="str">
        <f>"어린이도서관"</f>
        <v>어린이도서관</v>
      </c>
      <c r="B240" s="1" t="str">
        <f>"J813.8-윤619ㅁ"</f>
        <v>J813.8-윤619ㅁ</v>
      </c>
      <c r="C240" s="1" t="str">
        <f>"문 밖에 사자가 있다 [그림책]"</f>
        <v>문 밖에 사자가 있다 [그림책]</v>
      </c>
      <c r="D240" s="1" t="str">
        <f>"윤아해 글;조원희 그림"</f>
        <v>윤아해 글;조원희 그림</v>
      </c>
      <c r="E240" s="1" t="str">
        <f>"뜨인돌어린이 :뜨인돌출판"</f>
        <v>뜨인돌어린이 :뜨인돌출판</v>
      </c>
      <c r="F240" s="1" t="str">
        <f>"[42] p.:천연색삽화;26 cm"</f>
        <v>[42] p.:천연색삽화;26 cm</v>
      </c>
      <c r="G240" s="1"/>
    </row>
    <row r="241" spans="1:7" x14ac:dyDescent="0.3">
      <c r="A241" s="1" t="str">
        <f>"어린이도서관"</f>
        <v>어린이도서관</v>
      </c>
      <c r="B241" s="1" t="str">
        <f>"J408-사96ㅇ-12"</f>
        <v>J408-사96ㅇ-12</v>
      </c>
      <c r="C241" s="1" t="str">
        <f>"용선생의 시끌벅적 과학교실. 12, 식물-알고 보면 식물도 쉴 새 없이 바빠!"</f>
        <v>용선생의 시끌벅적 과학교실. 12, 식물-알고 보면 식물도 쉴 새 없이 바빠!</v>
      </c>
      <c r="D241" s="1" t="str">
        <f>"사회평론 과학교육연구소 글;조현상,뭉선생,윤효식 그림;이우일 캐릭터"</f>
        <v>사회평론 과학교육연구소 글;조현상,뭉선생,윤효식 그림;이우일 캐릭터</v>
      </c>
      <c r="E241" s="1" t="str">
        <f>"사회평론"</f>
        <v>사회평론</v>
      </c>
      <c r="F241" s="1" t="str">
        <f>"114 p.:천연색삽화;26 cm"</f>
        <v>114 p.:천연색삽화;26 cm</v>
      </c>
      <c r="G241" s="1"/>
    </row>
    <row r="242" spans="1:7" x14ac:dyDescent="0.3">
      <c r="A242" s="1" t="str">
        <f>"어린이도서관"</f>
        <v>어린이도서관</v>
      </c>
      <c r="B242" s="1" t="str">
        <f>"J408-사96ㅇ-13"</f>
        <v>J408-사96ㅇ-13</v>
      </c>
      <c r="C242" s="1" t="str">
        <f>"용선생의 시끌벅적 과학교실. 13, 소화와 배설-햄버거가 똥이 되는 신비한 몸속 터널!"</f>
        <v>용선생의 시끌벅적 과학교실. 13, 소화와 배설-햄버거가 똥이 되는 신비한 몸속 터널!</v>
      </c>
      <c r="D242" s="1" t="str">
        <f>"사회평론 과학교육연구소 글;조현상,뭉선생,윤효식 그림;이우일 캐릭터"</f>
        <v>사회평론 과학교육연구소 글;조현상,뭉선생,윤효식 그림;이우일 캐릭터</v>
      </c>
      <c r="E242" s="1" t="str">
        <f>"사회평론"</f>
        <v>사회평론</v>
      </c>
      <c r="F242" s="1" t="str">
        <f>"118 p.:천연색삽화;26 cm"</f>
        <v>118 p.:천연색삽화;26 cm</v>
      </c>
      <c r="G242" s="1"/>
    </row>
    <row r="243" spans="1:7" x14ac:dyDescent="0.3">
      <c r="A243" s="1" t="str">
        <f>"어린이도서관"</f>
        <v>어린이도서관</v>
      </c>
      <c r="B243" s="1" t="str">
        <f>"J408-사96ㅇ-14"</f>
        <v>J408-사96ㅇ-14</v>
      </c>
      <c r="C243" s="1" t="str">
        <f>"용선생의 시끌벅적 과학교실. 14, 운동 - 달에 망치를 가져간 까닭은?"</f>
        <v>용선생의 시끌벅적 과학교실. 14, 운동 - 달에 망치를 가져간 까닭은?</v>
      </c>
      <c r="D243" s="1" t="str">
        <f>"사회평론 과학교육연구소 글;김인하,김지희,전성연 그림"</f>
        <v>사회평론 과학교육연구소 글;김인하,김지희,전성연 그림</v>
      </c>
      <c r="E243" s="1" t="str">
        <f>"사회평론"</f>
        <v>사회평론</v>
      </c>
      <c r="F243" s="1" t="str">
        <f>"116 p.:삽화;26 cm"</f>
        <v>116 p.:삽화;26 cm</v>
      </c>
      <c r="G243" s="1"/>
    </row>
    <row r="244" spans="1:7" x14ac:dyDescent="0.3">
      <c r="A244" s="1" t="str">
        <f>"어린이도서관"</f>
        <v>어린이도서관</v>
      </c>
      <c r="B244" s="1" t="str">
        <f>"J408-사96ㅇ-15"</f>
        <v>J408-사96ㅇ-15</v>
      </c>
      <c r="C244" s="1" t="str">
        <f>"용선생의 시끌벅적 과학교실. 15, 기압과 바람-왜 비행기를 타면 귀가 먹먹해질까?"</f>
        <v>용선생의 시끌벅적 과학교실. 15, 기압과 바람-왜 비행기를 타면 귀가 먹먹해질까?</v>
      </c>
      <c r="D244" s="1" t="str">
        <f>"사회평론 과학교육연구소 글;조현상,뭉선생,윤효식 그림"</f>
        <v>사회평론 과학교육연구소 글;조현상,뭉선생,윤효식 그림</v>
      </c>
      <c r="E244" s="1" t="str">
        <f>"사회평론"</f>
        <v>사회평론</v>
      </c>
      <c r="F244" s="1" t="str">
        <f>"110 p.:천연색삽화;26 cm"</f>
        <v>110 p.:천연색삽화;26 cm</v>
      </c>
      <c r="G244" s="1"/>
    </row>
    <row r="245" spans="1:7" x14ac:dyDescent="0.3">
      <c r="A245" s="1" t="str">
        <f>"어린이도서관"</f>
        <v>어린이도서관</v>
      </c>
      <c r="B245" s="1" t="str">
        <f>"J408-사96ㅇ-16"</f>
        <v>J408-사96ㅇ-16</v>
      </c>
      <c r="C245" s="1" t="str">
        <f>"용선생의 시끌벅적 과학교실. 16, 기체-갓 구운 빵이 냄새도 좋은 까닭은?"</f>
        <v>용선생의 시끌벅적 과학교실. 16, 기체-갓 구운 빵이 냄새도 좋은 까닭은?</v>
      </c>
      <c r="D245" s="1" t="str">
        <f>"사회평론 과학교육연구소;김영은 글;김인하,김지희,전성연 [공]그림"</f>
        <v>사회평론 과학교육연구소;김영은 글;김인하,김지희,전성연 [공]그림</v>
      </c>
      <c r="E245" s="1" t="str">
        <f>"사회평론"</f>
        <v>사회평론</v>
      </c>
      <c r="F245" s="1" t="str">
        <f>"118 p.:천연색삽화;26 cm"</f>
        <v>118 p.:천연색삽화;26 cm</v>
      </c>
      <c r="G245" s="1"/>
    </row>
    <row r="246" spans="1:7" x14ac:dyDescent="0.3">
      <c r="A246" s="1" t="str">
        <f>"어린이도서관"</f>
        <v>어린이도서관</v>
      </c>
      <c r="B246" s="1" t="str">
        <f>"J408-사96ㅇ-17"</f>
        <v>J408-사96ㅇ-17</v>
      </c>
      <c r="C246" s="1" t="str">
        <f>"용선생의 시끌벅적 과학교실. 17, 호흡과 순환-엉덩이에 맞은 주사약은 어디로?"</f>
        <v>용선생의 시끌벅적 과학교실. 17, 호흡과 순환-엉덩이에 맞은 주사약은 어디로?</v>
      </c>
      <c r="D246" s="1" t="str">
        <f>"사회평론 과학교육연구소 글;조현상,뭉선생,윤효식 [공]그림"</f>
        <v>사회평론 과학교육연구소 글;조현상,뭉선생,윤효식 [공]그림</v>
      </c>
      <c r="E246" s="1" t="str">
        <f>"사회평론"</f>
        <v>사회평론</v>
      </c>
      <c r="F246" s="1" t="str">
        <f>"114 p.:천연색삽화;26 cm"</f>
        <v>114 p.:천연색삽화;26 cm</v>
      </c>
      <c r="G246" s="1"/>
    </row>
    <row r="247" spans="1:7" x14ac:dyDescent="0.3">
      <c r="A247" s="1" t="str">
        <f>"어린이도서관"</f>
        <v>어린이도서관</v>
      </c>
      <c r="B247" s="1" t="str">
        <f>"J408-사96ㅇ-18"</f>
        <v>J408-사96ㅇ-18</v>
      </c>
      <c r="C247" s="1" t="str">
        <f>"용선생의 시끌벅적 과학교실. 18, 자기-굴러가면 빛이 나는 바퀴의 비밀은?"</f>
        <v>용선생의 시끌벅적 과학교실. 18, 자기-굴러가면 빛이 나는 바퀴의 비밀은?</v>
      </c>
      <c r="D247" s="1" t="str">
        <f>"사회평론 과학교육연구소 글;김인하;김지희;전성연 [공]그림"</f>
        <v>사회평론 과학교육연구소 글;김인하;김지희;전성연 [공]그림</v>
      </c>
      <c r="E247" s="1" t="str">
        <f>"사회평론"</f>
        <v>사회평론</v>
      </c>
      <c r="F247" s="1" t="str">
        <f>"114 p.:천연색삽화;26 cm"</f>
        <v>114 p.:천연색삽화;26 cm</v>
      </c>
      <c r="G247" s="1"/>
    </row>
    <row r="248" spans="1:7" x14ac:dyDescent="0.3">
      <c r="A248" s="1" t="str">
        <f>"어린이도서관"</f>
        <v>어린이도서관</v>
      </c>
      <c r="B248" s="1" t="str">
        <f>"J408-사96ㅇ-19"</f>
        <v>J408-사96ㅇ-19</v>
      </c>
      <c r="C248" s="1" t="str">
        <f>"용선생의 시끌벅적 과학교실. 19, 별과 우주-거대한 우주의 끝은 어디일까?"</f>
        <v>용선생의 시끌벅적 과학교실. 19, 별과 우주-거대한 우주의 끝은 어디일까?</v>
      </c>
      <c r="D248" s="1" t="str">
        <f>"사회평론 과학교육연구소 글;김인하,뭉선생,윤효식 [공]그림"</f>
        <v>사회평론 과학교육연구소 글;김인하,뭉선생,윤효식 [공]그림</v>
      </c>
      <c r="E248" s="1" t="str">
        <f>"사회평론"</f>
        <v>사회평론</v>
      </c>
      <c r="F248" s="1" t="str">
        <f>"114 p.:천연색삽화;26 cm"</f>
        <v>114 p.:천연색삽화;26 cm</v>
      </c>
      <c r="G248" s="1"/>
    </row>
    <row r="249" spans="1:7" x14ac:dyDescent="0.3">
      <c r="A249" s="1" t="str">
        <f>"어린이도서관"</f>
        <v>어린이도서관</v>
      </c>
      <c r="B249" s="1" t="str">
        <f>"J408-사96ㅇ-20"</f>
        <v>J408-사96ㅇ-20</v>
      </c>
      <c r="C249" s="1" t="str">
        <f>"용선생의 시끌벅적 과학교실. 20, 물질의 특성-자동차를 지키는 액체 삼총사는?"</f>
        <v>용선생의 시끌벅적 과학교실. 20, 물질의 특성-자동차를 지키는 액체 삼총사는?</v>
      </c>
      <c r="D249" s="1" t="str">
        <f>"윤용석 글;김인하,뭉선생,윤효식 [공]그림"</f>
        <v>윤용석 글;김인하,뭉선생,윤효식 [공]그림</v>
      </c>
      <c r="E249" s="1" t="str">
        <f>"사회평론"</f>
        <v>사회평론</v>
      </c>
      <c r="F249" s="1" t="str">
        <f>"114 p.:천연색삽화;26 cm"</f>
        <v>114 p.:천연색삽화;26 cm</v>
      </c>
      <c r="G249" s="1"/>
    </row>
    <row r="250" spans="1:7" x14ac:dyDescent="0.3">
      <c r="A250" s="1" t="str">
        <f>"어린이도서관"</f>
        <v>어린이도서관</v>
      </c>
      <c r="B250" s="1" t="str">
        <f>"J408-사96ㅇ-21"</f>
        <v>J408-사96ㅇ-21</v>
      </c>
      <c r="C250" s="1" t="str">
        <f>"용선생의 시끌벅적 과학교실. 21, 세포-공룡 세포와 개미 세포, 무엇이 더 클까?"</f>
        <v>용선생의 시끌벅적 과학교실. 21, 세포-공룡 세포와 개미 세포, 무엇이 더 클까?</v>
      </c>
      <c r="D250" s="1" t="str">
        <f>"사회평론 과학교육연구소 글;조현상,뭉선생,윤효식 [공]그림"</f>
        <v>사회평론 과학교육연구소 글;조현상,뭉선생,윤효식 [공]그림</v>
      </c>
      <c r="E250" s="1" t="str">
        <f>"사회평론"</f>
        <v>사회평론</v>
      </c>
      <c r="F250" s="1" t="str">
        <f>"114 p.:천연색삽화;26 cm"</f>
        <v>114 p.:천연색삽화;26 cm</v>
      </c>
      <c r="G250" s="1"/>
    </row>
    <row r="251" spans="1:7" x14ac:dyDescent="0.3">
      <c r="A251" s="1" t="str">
        <f>"어린이도서관"</f>
        <v>어린이도서관</v>
      </c>
      <c r="B251" s="1" t="str">
        <f>"J408-사96ㅇ-22"</f>
        <v>J408-사96ㅇ-22</v>
      </c>
      <c r="C251" s="1" t="str">
        <f>"용선생의 시끌벅적 과학교실. 22, 빛-거울로 라면을 끓이는 방법은?"</f>
        <v>용선생의 시끌벅적 과학교실. 22, 빛-거울로 라면을 끓이는 방법은?</v>
      </c>
      <c r="D251" s="1" t="str">
        <f>"김지현 글;김인하,김지희,전성연 [공]그림"</f>
        <v>김지현 글;김인하,김지희,전성연 [공]그림</v>
      </c>
      <c r="E251" s="1" t="str">
        <f>"사회평론"</f>
        <v>사회평론</v>
      </c>
      <c r="F251" s="1" t="str">
        <f>"114 p.:천연색삽화;26 cm"</f>
        <v>114 p.:천연색삽화;26 cm</v>
      </c>
      <c r="G251" s="1"/>
    </row>
    <row r="252" spans="1:7" x14ac:dyDescent="0.3">
      <c r="A252" s="1" t="str">
        <f>"어린이도서관"</f>
        <v>어린이도서관</v>
      </c>
      <c r="B252" s="1" t="str">
        <f>"J408-사96ㅇ-23"</f>
        <v>J408-사96ㅇ-23</v>
      </c>
      <c r="C252" s="1" t="str">
        <f>"용선생의 시끌벅적 과학교실. 23, 미생물 - 누가 치즈에 구멍을 냈을까?"</f>
        <v>용선생의 시끌벅적 과학교실. 23, 미생물 - 누가 치즈에 구멍을 냈을까?</v>
      </c>
      <c r="D252" s="1" t="str">
        <f>"사회평론 과학교육연구소 글;조현상,김지희,전성연 [공]그림"</f>
        <v>사회평론 과학교육연구소 글;조현상,김지희,전성연 [공]그림</v>
      </c>
      <c r="E252" s="1" t="str">
        <f>"사회평론"</f>
        <v>사회평론</v>
      </c>
      <c r="F252" s="1" t="str">
        <f>"118 p.:천연색삽화;25 cm"</f>
        <v>118 p.:천연색삽화;25 cm</v>
      </c>
      <c r="G252" s="1"/>
    </row>
    <row r="253" spans="1:7" x14ac:dyDescent="0.3">
      <c r="A253" s="1" t="str">
        <f>"어린이도서관"</f>
        <v>어린이도서관</v>
      </c>
      <c r="B253" s="1" t="str">
        <f>"J408-사96ㅇ-24"</f>
        <v>J408-사96ㅇ-24</v>
      </c>
      <c r="C253" s="1" t="str">
        <f>"용선생의 시끌벅적 과학교실. 24, 바다-병 속의 편지는 어디로 흘러갈까?"</f>
        <v>용선생의 시끌벅적 과학교실. 24, 바다-병 속의 편지는 어디로 흘러갈까?</v>
      </c>
      <c r="D253" s="1" t="str">
        <f>"사회평론 과학교육연구소 글;김인하,뭉선생,윤효식 [공]그림"</f>
        <v>사회평론 과학교육연구소 글;김인하,뭉선생,윤효식 [공]그림</v>
      </c>
      <c r="E253" s="1" t="str">
        <f>"사회평론"</f>
        <v>사회평론</v>
      </c>
      <c r="F253" s="1" t="str">
        <f>"118 p.:천연색삽화;26 cm"</f>
        <v>118 p.:천연색삽화;26 cm</v>
      </c>
      <c r="G253" s="1"/>
    </row>
    <row r="254" spans="1:7" x14ac:dyDescent="0.3">
      <c r="A254" s="1" t="str">
        <f>"어린이도서관"</f>
        <v>어린이도서관</v>
      </c>
      <c r="B254" s="1" t="str">
        <f>"J408-사96ㅇ-25"</f>
        <v>J408-사96ㅇ-25</v>
      </c>
      <c r="C254" s="1" t="str">
        <f>"용선생의 시끌벅적 과학교실. 25, 에너지 - 짜릿한 롤러코스터, 어떻게 움직일까?"</f>
        <v>용선생의 시끌벅적 과학교실. 25, 에너지 - 짜릿한 롤러코스터, 어떻게 움직일까?</v>
      </c>
      <c r="D254" s="1" t="str">
        <f>"사회평론 과학교육연구소 글;김인하,김지희,전성연 [공]그림"</f>
        <v>사회평론 과학교육연구소 글;김인하,김지희,전성연 [공]그림</v>
      </c>
      <c r="E254" s="1" t="str">
        <f>"사회평론"</f>
        <v>사회평론</v>
      </c>
      <c r="F254" s="1" t="str">
        <f>"120p.:천연색삽화, 컬러사진;26cm"</f>
        <v>120p.:천연색삽화, 컬러사진;26cm</v>
      </c>
      <c r="G254" s="1"/>
    </row>
    <row r="255" spans="1:7" x14ac:dyDescent="0.3">
      <c r="A255" s="1" t="str">
        <f>"어린이도서관"</f>
        <v>어린이도서관</v>
      </c>
      <c r="B255" s="1" t="str">
        <f>"J408-사96ㅇ-26"</f>
        <v>J408-사96ㅇ-26</v>
      </c>
      <c r="C255" s="1" t="str">
        <f>"용선생의 시끌벅적 과학교실. 26, 계절과 날씨-오락가락하는 날씨, 어떻게 알아낼까?"</f>
        <v>용선생의 시끌벅적 과학교실. 26, 계절과 날씨-오락가락하는 날씨, 어떻게 알아낼까?</v>
      </c>
      <c r="D255" s="1" t="str">
        <f>"사회평론 과학교육연구소 글;조현상,뭉선생,윤효식 [공]그림"</f>
        <v>사회평론 과학교육연구소 글;조현상,뭉선생,윤효식 [공]그림</v>
      </c>
      <c r="E255" s="1" t="str">
        <f>"사회평론"</f>
        <v>사회평론</v>
      </c>
      <c r="F255" s="1" t="str">
        <f>"118 p.:천연색삽화;26 cm"</f>
        <v>118 p.:천연색삽화;26 cm</v>
      </c>
      <c r="G255" s="1"/>
    </row>
    <row r="256" spans="1:7" x14ac:dyDescent="0.3">
      <c r="A256" s="1" t="str">
        <f>"어린이도서관"</f>
        <v>어린이도서관</v>
      </c>
      <c r="B256" s="1" t="str">
        <f>"J408-사96ㅇ-27"</f>
        <v>J408-사96ㅇ-27</v>
      </c>
      <c r="C256" s="1" t="str">
        <f>"용선생의 시끌벅적 과학교실. 27, 유전-범인을 찾아 줄게, 내 이름은 DNA!"</f>
        <v>용선생의 시끌벅적 과학교실. 27, 유전-범인을 찾아 줄게, 내 이름은 DNA!</v>
      </c>
      <c r="D256" s="1" t="str">
        <f>"사회평론 과학교육연구소 글;조현상,김지희,전성연 [공]그림"</f>
        <v>사회평론 과학교육연구소 글;조현상,김지희,전성연 [공]그림</v>
      </c>
      <c r="E256" s="1" t="str">
        <f>"사회평론"</f>
        <v>사회평론</v>
      </c>
      <c r="F256" s="1" t="str">
        <f>"114 p.:천연색삽화;26 cm"</f>
        <v>114 p.:천연색삽화;26 cm</v>
      </c>
      <c r="G256" s="1"/>
    </row>
    <row r="257" spans="1:7" x14ac:dyDescent="0.3">
      <c r="A257" s="1" t="str">
        <f>"어린이도서관"</f>
        <v>어린이도서관</v>
      </c>
      <c r="B257" s="1" t="str">
        <f>"J408-사96ㅇ-28"</f>
        <v>J408-사96ㅇ-28</v>
      </c>
      <c r="C257" s="1" t="str">
        <f>"용선생의 시끌벅적 과학교실. 28, 상태변화-눈으로 만든 집을 따뜻하게 하려면?"</f>
        <v>용선생의 시끌벅적 과학교실. 28, 상태변화-눈으로 만든 집을 따뜻하게 하려면?</v>
      </c>
      <c r="D257" s="1" t="str">
        <f>"사회평론 과학교육연구소 글;김인하;뭉선생;윤효식 그림;이우일 캐릭터."</f>
        <v>사회평론 과학교육연구소 글;김인하;뭉선생;윤효식 그림;이우일 캐릭터.</v>
      </c>
      <c r="E257" s="1" t="str">
        <f>"사회평론"</f>
        <v>사회평론</v>
      </c>
      <c r="F257" s="1" t="str">
        <f>"114 p.:천연색삽화, 도표, 초상,;26 cm"</f>
        <v>114 p.:천연색삽화, 도표, 초상,;26 cm</v>
      </c>
      <c r="G257" s="1"/>
    </row>
    <row r="258" spans="1:7" x14ac:dyDescent="0.3">
      <c r="A258" s="1" t="str">
        <f>"어린이도서관"</f>
        <v>어린이도서관</v>
      </c>
      <c r="B258" s="1" t="str">
        <f>"J408-사96ㅇ-29"</f>
        <v>J408-사96ㅇ-29</v>
      </c>
      <c r="C258" s="1" t="str">
        <f>"용선생의 시끌벅적 과학교실. 29, 온도와 열-피자가 식지 않는 배달 가방의 비밀은?"</f>
        <v>용선생의 시끌벅적 과학교실. 29, 온도와 열-피자가 식지 않는 배달 가방의 비밀은?</v>
      </c>
      <c r="D258" s="1" t="str">
        <f>"사회평론 과학교육연구소 글;김인하,뭉선생,윤효식 [공]그림"</f>
        <v>사회평론 과학교육연구소 글;김인하,뭉선생,윤효식 [공]그림</v>
      </c>
      <c r="E258" s="1" t="str">
        <f>"사회평론"</f>
        <v>사회평론</v>
      </c>
      <c r="F258" s="1" t="str">
        <f>"118 p.:천연색삽화;26 cm"</f>
        <v>118 p.:천연색삽화;26 cm</v>
      </c>
      <c r="G258" s="1"/>
    </row>
    <row r="259" spans="1:7" x14ac:dyDescent="0.3">
      <c r="A259" s="1" t="str">
        <f>"어린이도서관"</f>
        <v>어린이도서관</v>
      </c>
      <c r="B259" s="1" t="str">
        <f>"J408-사96ㅇ-30"</f>
        <v>J408-사96ㅇ-30</v>
      </c>
      <c r="C259" s="1" t="str">
        <f>"용선생의 시끌벅적 과학교실. 30, 암석-돌하르방에 숭숭 구멍이 뚫린 까닭은?"</f>
        <v>용선생의 시끌벅적 과학교실. 30, 암석-돌하르방에 숭숭 구멍이 뚫린 까닭은?</v>
      </c>
      <c r="D259" s="1" t="str">
        <f>"사회평론 과학교육연구소 글;조현상,김지희,전성연 그림"</f>
        <v>사회평론 과학교육연구소 글;조현상,김지희,전성연 그림</v>
      </c>
      <c r="E259" s="1" t="str">
        <f>"사회평론"</f>
        <v>사회평론</v>
      </c>
      <c r="F259" s="1" t="str">
        <f>"120 p.:천연색삽화;26 cm"</f>
        <v>120 p.:천연색삽화;26 cm</v>
      </c>
      <c r="G259" s="1"/>
    </row>
    <row r="260" spans="1:7" x14ac:dyDescent="0.3">
      <c r="A260" s="1" t="str">
        <f>"어린이도서관"</f>
        <v>어린이도서관</v>
      </c>
      <c r="B260" s="1" t="str">
        <f>"J408-사96ㅇ-31"</f>
        <v>J408-사96ㅇ-31</v>
      </c>
      <c r="C260" s="1" t="str">
        <f>"용선생의 시끌벅적 과학교실. 31, 자극과 반응-일찍 자면 쑥쑥 키가 크는 까닭은?"</f>
        <v>용선생의 시끌벅적 과학교실. 31, 자극과 반응-일찍 자면 쑥쑥 키가 크는 까닭은?</v>
      </c>
      <c r="D260" s="1" t="str">
        <f>"사회평론 과학교육연구소 글;조현상,김지희,전성연 [공]그림"</f>
        <v>사회평론 과학교육연구소 글;조현상,김지희,전성연 [공]그림</v>
      </c>
      <c r="E260" s="1" t="str">
        <f>"사회평론"</f>
        <v>사회평론</v>
      </c>
      <c r="F260" s="1" t="str">
        <f>"114 p.:천연색삽화;26 cm"</f>
        <v>114 p.:천연색삽화;26 cm</v>
      </c>
      <c r="G260" s="1"/>
    </row>
    <row r="261" spans="1:7" x14ac:dyDescent="0.3">
      <c r="A261" s="1" t="str">
        <f>"어린이도서관"</f>
        <v>어린이도서관</v>
      </c>
      <c r="B261" s="1" t="str">
        <f>"J408-사96ㅇ-32"</f>
        <v>J408-사96ㅇ-32</v>
      </c>
      <c r="C261" s="1" t="str">
        <f>"용선생의 시끌벅적 과학교실. 32, 혼합물의 분리-화장실 냄새를 말끔히 없애려면?"</f>
        <v>용선생의 시끌벅적 과학교실. 32, 혼합물의 분리-화장실 냄새를 말끔히 없애려면?</v>
      </c>
      <c r="D261" s="1" t="str">
        <f>"윤용석 글;김인하,뭉선생,윤효식 [공]그림"</f>
        <v>윤용석 글;김인하,뭉선생,윤효식 [공]그림</v>
      </c>
      <c r="E261" s="1" t="str">
        <f>"사회평론"</f>
        <v>사회평론</v>
      </c>
      <c r="F261" s="1" t="str">
        <f>"120 p.:천연색삽화;26 cm"</f>
        <v>120 p.:천연색삽화;26 cm</v>
      </c>
      <c r="G261" s="1"/>
    </row>
    <row r="262" spans="1:7" x14ac:dyDescent="0.3">
      <c r="A262" s="1" t="str">
        <f>"어린이도서관"</f>
        <v>어린이도서관</v>
      </c>
      <c r="B262" s="1" t="str">
        <f>"J408-사96ㅇ-33"</f>
        <v>J408-사96ㅇ-33</v>
      </c>
      <c r="C262" s="1" t="str">
        <f>"용선생의 시끌벅적 과학교실. 33, 파동-사막에 나타나는 신기루의 정체는?"</f>
        <v>용선생의 시끌벅적 과학교실. 33, 파동-사막에 나타나는 신기루의 정체는?</v>
      </c>
      <c r="D262" s="1" t="str">
        <f>"김지현 글;김인하,뭉선생,윤효식 [공]그림"</f>
        <v>김지현 글;김인하,뭉선생,윤효식 [공]그림</v>
      </c>
      <c r="E262" s="1" t="str">
        <f>"사회평론"</f>
        <v>사회평론</v>
      </c>
      <c r="F262" s="1" t="str">
        <f>"110 p.:천연색삽화;26 cm"</f>
        <v>110 p.:천연색삽화;26 cm</v>
      </c>
      <c r="G262" s="1"/>
    </row>
    <row r="263" spans="1:7" x14ac:dyDescent="0.3">
      <c r="A263" s="1" t="str">
        <f>"어린이도서관"</f>
        <v>어린이도서관</v>
      </c>
      <c r="B263" s="1" t="str">
        <f>"J408-사96ㅇ-34"</f>
        <v>J408-사96ㅇ-34</v>
      </c>
      <c r="C263" s="1" t="str">
        <f>"용선생의 시끌벅적 과학교실. 34, 땅의 움직임 :에베레스트산이 점점 높아지는 까닭은?"</f>
        <v>용선생의 시끌벅적 과학교실. 34, 땅의 움직임 :에베레스트산이 점점 높아지는 까닭은?</v>
      </c>
      <c r="D263" s="1" t="str">
        <f>"사회평론 과학교육연구소 글;조현상;김지희;전성연 [공]그림;이우일 캐릭터"</f>
        <v>사회평론 과학교육연구소 글;조현상;김지희;전성연 [공]그림;이우일 캐릭터</v>
      </c>
      <c r="E263" s="1" t="str">
        <f>"사회평론"</f>
        <v>사회평론</v>
      </c>
      <c r="F263" s="1" t="str">
        <f>"109 p.:천연색삽화;26 cm"</f>
        <v>109 p.:천연색삽화;26 cm</v>
      </c>
      <c r="G263" s="1"/>
    </row>
    <row r="264" spans="1:7" x14ac:dyDescent="0.3">
      <c r="A264" s="1" t="str">
        <f>"어린이도서관"</f>
        <v>어린이도서관</v>
      </c>
      <c r="B264" s="1" t="str">
        <f>"J408-사96ㅇ-35"</f>
        <v>J408-사96ㅇ-35</v>
      </c>
      <c r="C264" s="1" t="str">
        <f>"용선생의 시끌벅적 과학교실. 35, 여러 가지 물질"</f>
        <v>용선생의 시끌벅적 과학교실. 35, 여러 가지 물질</v>
      </c>
      <c r="D264" s="1" t="str">
        <f>"사회평론 과학교육연구소 글;김인하,뭉선생,윤효식 그림"</f>
        <v>사회평론 과학교육연구소 글;김인하,뭉선생,윤효식 그림</v>
      </c>
      <c r="E264" s="1" t="str">
        <f>"사회평론"</f>
        <v>사회평론</v>
      </c>
      <c r="F264" s="1" t="str">
        <f>"110 p.:삽화;25 cm"</f>
        <v>110 p.:삽화;25 cm</v>
      </c>
      <c r="G264" s="1"/>
    </row>
    <row r="265" spans="1:7" x14ac:dyDescent="0.3">
      <c r="A265" s="1" t="str">
        <f>"어린이도서관"</f>
        <v>어린이도서관</v>
      </c>
      <c r="B265" s="1" t="str">
        <f>"J408-사96ㅇ-36"</f>
        <v>J408-사96ㅇ-36</v>
      </c>
      <c r="C265" s="1" t="str">
        <f>"용선생의 시끌벅적 과학교실. 36, 동물의 세계-사슴벌레와 꽃게가 친척인 까닭은?"</f>
        <v>용선생의 시끌벅적 과학교실. 36, 동물의 세계-사슴벌레와 꽃게가 친척인 까닭은?</v>
      </c>
      <c r="D265" s="1" t="str">
        <f>"사회평론 과학교육연구소 글;조현상,김지희,전성연 [공]그림"</f>
        <v>사회평론 과학교육연구소 글;조현상,김지희,전성연 [공]그림</v>
      </c>
      <c r="E265" s="1" t="str">
        <f>"사회평론"</f>
        <v>사회평론</v>
      </c>
      <c r="F265" s="1" t="str">
        <f>"118 p.:천연색삽화;26 cm"</f>
        <v>118 p.:천연색삽화;26 cm</v>
      </c>
      <c r="G265" s="1"/>
    </row>
    <row r="266" spans="1:7" x14ac:dyDescent="0.3">
      <c r="A266" s="1" t="str">
        <f>"어린이도서관"</f>
        <v>어린이도서관</v>
      </c>
      <c r="B266" s="1" t="str">
        <f>"J408-사96ㅇ-37"</f>
        <v>J408-사96ㅇ-37</v>
      </c>
      <c r="C266" s="1" t="str">
        <f>"용선생의 시끌벅적 과학교실. 37, 지층과 화석-우리 동네 뒷산에도 화석이 있을까?"</f>
        <v>용선생의 시끌벅적 과학교실. 37, 지층과 화석-우리 동네 뒷산에도 화석이 있을까?</v>
      </c>
      <c r="D266" s="1" t="str">
        <f>"사회평론 과학교육연구소 글;조현상,김지희 [공]그림"</f>
        <v>사회평론 과학교육연구소 글;조현상,김지희 [공]그림</v>
      </c>
      <c r="E266" s="1" t="str">
        <f>"사회평론"</f>
        <v>사회평론</v>
      </c>
      <c r="F266" s="1" t="str">
        <f>"118 p.:천연색삽화;26 cm"</f>
        <v>118 p.:천연색삽화;26 cm</v>
      </c>
      <c r="G266" s="1"/>
    </row>
    <row r="267" spans="1:7" x14ac:dyDescent="0.3">
      <c r="A267" s="1" t="str">
        <f>"어린이도서관"</f>
        <v>어린이도서관</v>
      </c>
      <c r="B267" s="1" t="str">
        <f>"J408-사96ㅇ-38"</f>
        <v>J408-사96ㅇ-38</v>
      </c>
      <c r="C267" s="1" t="str">
        <f>"용선생의 시끌벅적 과학교실. 38, 물질의 구성-알록달록한 촛불의 비밀은?"</f>
        <v>용선생의 시끌벅적 과학교실. 38, 물질의 구성-알록달록한 촛불의 비밀은?</v>
      </c>
      <c r="D267" s="1" t="str">
        <f>"사회평론 과학교육연구소 글;김인하,뭉선생,윤효식 [공]그림"</f>
        <v>사회평론 과학교육연구소 글;김인하,뭉선생,윤효식 [공]그림</v>
      </c>
      <c r="E267" s="1" t="str">
        <f>"사회평론"</f>
        <v>사회평론</v>
      </c>
      <c r="F267" s="1" t="str">
        <f>"110 p.:천연색삽화, 사진;26 cm"</f>
        <v>110 p.:천연색삽화, 사진;26 cm</v>
      </c>
      <c r="G267" s="1"/>
    </row>
    <row r="268" spans="1:7" x14ac:dyDescent="0.3">
      <c r="A268" s="1" t="str">
        <f>"어린이도서관"</f>
        <v>어린이도서관</v>
      </c>
      <c r="B268" s="1" t="str">
        <f>"J408-사96ㅇ-39"</f>
        <v>J408-사96ㅇ-39</v>
      </c>
      <c r="C268" s="1" t="str">
        <f>"용선생의 시끌벅적 과학교실. 39, 진화 - 공룡이 진화하여 나타난 동물은?"</f>
        <v>용선생의 시끌벅적 과학교실. 39, 진화 - 공룡이 진화하여 나타난 동물은?</v>
      </c>
      <c r="D268" s="1" t="str">
        <f>"사회평론 과학교육연구소 글;조현상,김지희,전성연 [공]그림"</f>
        <v>사회평론 과학교육연구소 글;조현상,김지희,전성연 [공]그림</v>
      </c>
      <c r="E268" s="1" t="str">
        <f>"사회평론"</f>
        <v>사회평론</v>
      </c>
      <c r="F268" s="1" t="str">
        <f>"120 p.:천연색삽화;26 cm"</f>
        <v>120 p.:천연색삽화;26 cm</v>
      </c>
      <c r="G268" s="1"/>
    </row>
    <row r="269" spans="1:7" x14ac:dyDescent="0.3">
      <c r="A269" s="1" t="str">
        <f>"어린이도서관"</f>
        <v>어린이도서관</v>
      </c>
      <c r="B269" s="1" t="str">
        <f>"J408-사96ㅇ-40"</f>
        <v>J408-사96ㅇ-40</v>
      </c>
      <c r="C269" s="1" t="str">
        <f>"용선생의 시끌벅적 과학교실. 40, 화학 반응 - 고흐가 사랑한 노란 물감의 정체는?"</f>
        <v>용선생의 시끌벅적 과학교실. 40, 화학 반응 - 고흐가 사랑한 노란 물감의 정체는?</v>
      </c>
      <c r="D269" s="1" t="str">
        <f>"김영은,사회평론 과학교육연구소 [공]글;김인하,뭉선생,윤효식 [공]그림"</f>
        <v>김영은,사회평론 과학교육연구소 [공]글;김인하,뭉선생,윤효식 [공]그림</v>
      </c>
      <c r="E269" s="1" t="str">
        <f>"사회평론"</f>
        <v>사회평론</v>
      </c>
      <c r="F269" s="1" t="str">
        <f>"120p.:천연색삽화;26cm"</f>
        <v>120p.:천연색삽화;26cm</v>
      </c>
      <c r="G269" s="1"/>
    </row>
    <row r="270" spans="1:7" x14ac:dyDescent="0.3">
      <c r="A270" s="1" t="str">
        <f>"어린이도서관"</f>
        <v>어린이도서관</v>
      </c>
      <c r="B270" s="1" t="str">
        <f>"J471-정72ㅇ-6"</f>
        <v>J471-정72ㅇ-6</v>
      </c>
      <c r="C270" s="1" t="str">
        <f>"(정재승의) 인류 탐험 보고서. 6, 지구 최고의 라이벌"</f>
        <v>(정재승의) 인류 탐험 보고서. 6, 지구 최고의 라이벌</v>
      </c>
      <c r="D270" s="1" t="str">
        <f>"정재승;차유진 글;김현민 그림"</f>
        <v>정재승;차유진 글;김현민 그림</v>
      </c>
      <c r="E270" s="1" t="str">
        <f>"아울북:북이십일"</f>
        <v>아울북:북이십일</v>
      </c>
      <c r="F270" s="1" t="str">
        <f>"152 p.:전부천연색삽화;21 cm"</f>
        <v>152 p.:전부천연색삽화;21 cm</v>
      </c>
      <c r="G270" s="1"/>
    </row>
    <row r="271" spans="1:7" x14ac:dyDescent="0.3">
      <c r="A271" s="1" t="str">
        <f>"어린이도서관"</f>
        <v>어린이도서관</v>
      </c>
      <c r="B271" s="1" t="str">
        <f>"J813.8-송58ㅇ"</f>
        <v>J813.8-송58ㅇ</v>
      </c>
      <c r="C271" s="1" t="str">
        <f>"으악, 큰일 났다!"</f>
        <v>으악, 큰일 났다!</v>
      </c>
      <c r="D271" s="1" t="str">
        <f>"송승주 글;김수영 그림"</f>
        <v>송승주 글;김수영 그림</v>
      </c>
      <c r="E271" s="1" t="str">
        <f>"천개의바람"</f>
        <v>천개의바람</v>
      </c>
      <c r="F271" s="1" t="str">
        <f>"84 p.:천연색삽화;21 cm"</f>
        <v>84 p.:천연색삽화;21 cm</v>
      </c>
      <c r="G271" s="1"/>
    </row>
    <row r="272" spans="1:7" x14ac:dyDescent="0.3">
      <c r="A272" s="1" t="str">
        <f>"어린이도서관"</f>
        <v>어린이도서관</v>
      </c>
      <c r="B272" s="1" t="str">
        <f>"J833.8-이666ㄱ"</f>
        <v>J833.8-이666ㄱ</v>
      </c>
      <c r="C272" s="1" t="str">
        <f>"거북이가 2000원"</f>
        <v>거북이가 2000원</v>
      </c>
      <c r="D272" s="1" t="str">
        <f>"이와사키 쿄코 글;스기우라 한모 그림;류화선 옮김"</f>
        <v>이와사키 쿄코 글;스기우라 한모 그림;류화선 옮김</v>
      </c>
      <c r="E272" s="1" t="str">
        <f>"천개의바람"</f>
        <v>천개의바람</v>
      </c>
      <c r="F272" s="1" t="str">
        <f>"73 p.:삽화(일부천연색);21 cm"</f>
        <v>73 p.:삽화(일부천연색);21 cm</v>
      </c>
      <c r="G272" s="1"/>
    </row>
    <row r="273" spans="1:7" x14ac:dyDescent="0.3">
      <c r="A273" s="1" t="str">
        <f>"어린이도서관"</f>
        <v>어린이도서관</v>
      </c>
      <c r="B273" s="1" t="str">
        <f>"J833.8-핫835ㅇ"</f>
        <v>J833.8-핫835ㅇ</v>
      </c>
      <c r="C273" s="1" t="str">
        <f>"오줌싸우루스 물리치는 법"</f>
        <v>오줌싸우루스 물리치는 법</v>
      </c>
      <c r="D273" s="1" t="str">
        <f>"핫토리 치하루 지음;무라카미 야스나리 그림;김정화 옮김"</f>
        <v>핫토리 치하루 지음;무라카미 야스나리 그림;김정화 옮김</v>
      </c>
      <c r="E273" s="1" t="str">
        <f>"천개의바람"</f>
        <v>천개의바람</v>
      </c>
      <c r="F273" s="1" t="str">
        <f>"82 p.:천연색삽화;21 cm"</f>
        <v>82 p.:천연색삽화;21 cm</v>
      </c>
      <c r="G273" s="1"/>
    </row>
    <row r="274" spans="1:7" x14ac:dyDescent="0.3">
      <c r="A274" s="1" t="str">
        <f>"어린이도서관"</f>
        <v>어린이도서관</v>
      </c>
      <c r="B274" s="1" t="str">
        <f>"J833.8-구225ㅁ-1"</f>
        <v>J833.8-구225ㅁ-1</v>
      </c>
      <c r="C274" s="1" t="str">
        <f>"마르가리타의 모험. 1, 수상한 해적선의 등장"</f>
        <v>마르가리타의 모험. 1, 수상한 해적선의 등장</v>
      </c>
      <c r="D274" s="1" t="str">
        <f>"구도 노리코 글·그림;김소연 옮김"</f>
        <v>구도 노리코 글·그림;김소연 옮김</v>
      </c>
      <c r="E274" s="1" t="str">
        <f>"천개의바람"</f>
        <v>천개의바람</v>
      </c>
      <c r="F274" s="1" t="str">
        <f>"88 p.:삽화;21 cm"</f>
        <v>88 p.:삽화;21 cm</v>
      </c>
      <c r="G274" s="1"/>
    </row>
    <row r="275" spans="1:7" x14ac:dyDescent="0.3">
      <c r="A275" s="1" t="str">
        <f>"어린이도서관"</f>
        <v>어린이도서관</v>
      </c>
      <c r="B275" s="1" t="str">
        <f>"J833.8-구225ㅁ-2"</f>
        <v>J833.8-구225ㅁ-2</v>
      </c>
      <c r="C275" s="1" t="str">
        <f>"마르가리타의 모험. 2, 사라진 봄의 여신"</f>
        <v>마르가리타의 모험. 2, 사라진 봄의 여신</v>
      </c>
      <c r="D275" s="1" t="str">
        <f>"구도 노리코 글·그림;김소연 옮김"</f>
        <v>구도 노리코 글·그림;김소연 옮김</v>
      </c>
      <c r="E275" s="1" t="str">
        <f>"천개의바람"</f>
        <v>천개의바람</v>
      </c>
      <c r="F275" s="1" t="str">
        <f>"88 p.:삽화;21 cm"</f>
        <v>88 p.:삽화;21 cm</v>
      </c>
      <c r="G275" s="1"/>
    </row>
    <row r="276" spans="1:7" x14ac:dyDescent="0.3">
      <c r="A276" s="1" t="str">
        <f>"어린이도서관"</f>
        <v>어린이도서관</v>
      </c>
      <c r="B276" s="1" t="str">
        <f>"J833.8-구225ㅁ-3"</f>
        <v>J833.8-구225ㅁ-3</v>
      </c>
      <c r="C276" s="1" t="str">
        <f>"마르가리타의 모험. 3, 기묘한 마법 사탕"</f>
        <v>마르가리타의 모험. 3, 기묘한 마법 사탕</v>
      </c>
      <c r="D276" s="1" t="str">
        <f>"구도 노리코 글·그림;김소연 옮김"</f>
        <v>구도 노리코 글·그림;김소연 옮김</v>
      </c>
      <c r="E276" s="1" t="str">
        <f>"천개의바람"</f>
        <v>천개의바람</v>
      </c>
      <c r="F276" s="1" t="str">
        <f>"60 p.:천연색삽화;21 cm"</f>
        <v>60 p.:천연색삽화;21 cm</v>
      </c>
      <c r="G276" s="1"/>
    </row>
    <row r="277" spans="1:7" x14ac:dyDescent="0.3">
      <c r="A277" s="1" t="str">
        <f>"어린이도서관"</f>
        <v>어린이도서관</v>
      </c>
      <c r="B277" s="1" t="str">
        <f>"J742-윌58ㅇ"</f>
        <v>J742-윌58ㅇ</v>
      </c>
      <c r="C277" s="1" t="str">
        <f>"언어 천재 윌슨 쌤의 영어 비밀 탐험대"</f>
        <v>언어 천재 윌슨 쌤의 영어 비밀 탐험대</v>
      </c>
      <c r="D277" s="1" t="str">
        <f>"톰 리드 윌슨 지음;이언 모리스 그림;정한결 옮김"</f>
        <v>톰 리드 윌슨 지음;이언 모리스 그림;정한결 옮김</v>
      </c>
      <c r="E277" s="1" t="str">
        <f>"윌북주니어 :윌북"</f>
        <v>윌북주니어 :윌북</v>
      </c>
      <c r="F277" s="1" t="str">
        <f>"165 p.:천연색삽화;23 cm"</f>
        <v>165 p.:천연색삽화;23 cm</v>
      </c>
      <c r="G277" s="1"/>
    </row>
    <row r="278" spans="1:7" x14ac:dyDescent="0.3">
      <c r="A278" s="1" t="str">
        <f>"어린이도서관"</f>
        <v>어린이도서관</v>
      </c>
      <c r="B278" s="1" t="str">
        <f>"J181.7-을841키-1"</f>
        <v>J181.7-을841키-1</v>
      </c>
      <c r="C278" s="1" t="str">
        <f>"화가 나!"</f>
        <v>화가 나!</v>
      </c>
      <c r="D278" s="1" t="str">
        <f>"최형미 글;김혜연 그림"</f>
        <v>최형미 글;김혜연 그림</v>
      </c>
      <c r="E278" s="1" t="str">
        <f>"을파소:북이십일"</f>
        <v>을파소:북이십일</v>
      </c>
      <c r="F278" s="1" t="str">
        <f>"162 p.:천연색삽화;22 cm"</f>
        <v>162 p.:천연색삽화;22 cm</v>
      </c>
      <c r="G278" s="1"/>
    </row>
    <row r="279" spans="1:7" x14ac:dyDescent="0.3">
      <c r="A279" s="1" t="str">
        <f>"어린이도서관"</f>
        <v>어린이도서관</v>
      </c>
      <c r="B279" s="1" t="str">
        <f>"J181.7-을841키-5"</f>
        <v>J181.7-을841키-5</v>
      </c>
      <c r="C279" s="1" t="str">
        <f>"행복해!"</f>
        <v>행복해!</v>
      </c>
      <c r="D279" s="1" t="str">
        <f>"최형미 글;김혜연 그림"</f>
        <v>최형미 글;김혜연 그림</v>
      </c>
      <c r="E279" s="1" t="str">
        <f>"을파소"</f>
        <v>을파소</v>
      </c>
      <c r="F279" s="1" t="str">
        <f>"137 p.:천연색삽화;22 cm"</f>
        <v>137 p.:천연색삽화;22 cm</v>
      </c>
      <c r="G279" s="1"/>
    </row>
    <row r="280" spans="1:7" x14ac:dyDescent="0.3">
      <c r="A280" s="1" t="str">
        <f>"어린이도서관"</f>
        <v>어린이도서관</v>
      </c>
      <c r="B280" s="1" t="str">
        <f>"J181.7-을841키-3"</f>
        <v>J181.7-을841키-3</v>
      </c>
      <c r="C280" s="1" t="str">
        <f>"슬퍼!"</f>
        <v>슬퍼!</v>
      </c>
      <c r="D280" s="1" t="str">
        <f>"최형미 글;김혜연 그림"</f>
        <v>최형미 글;김혜연 그림</v>
      </c>
      <c r="E280" s="1" t="str">
        <f>"을파소"</f>
        <v>을파소</v>
      </c>
      <c r="F280" s="1" t="str">
        <f>"149 p.:천연색삽화;22 cm"</f>
        <v>149 p.:천연색삽화;22 cm</v>
      </c>
      <c r="G280" s="1"/>
    </row>
    <row r="281" spans="1:7" x14ac:dyDescent="0.3">
      <c r="A281" s="1" t="str">
        <f>"어린이도서관"</f>
        <v>어린이도서관</v>
      </c>
      <c r="B281" s="1" t="str">
        <f>"J181.7-을841키-4"</f>
        <v>J181.7-을841키-4</v>
      </c>
      <c r="C281" s="1" t="str">
        <f>"부끄러워!"</f>
        <v>부끄러워!</v>
      </c>
      <c r="D281" s="1" t="str">
        <f>"최형미 글;김혜연 그림"</f>
        <v>최형미 글;김혜연 그림</v>
      </c>
      <c r="E281" s="1" t="str">
        <f>"을파소"</f>
        <v>을파소</v>
      </c>
      <c r="F281" s="1" t="str">
        <f>"147p.:천연색삽화;22cm"</f>
        <v>147p.:천연색삽화;22cm</v>
      </c>
      <c r="G281" s="1"/>
    </row>
    <row r="282" spans="1:7" x14ac:dyDescent="0.3">
      <c r="A282" s="1" t="str">
        <f>"어린이도서관"</f>
        <v>어린이도서관</v>
      </c>
      <c r="B282" s="1" t="str">
        <f>"J181.7-을841키-2"</f>
        <v>J181.7-을841키-2</v>
      </c>
      <c r="C282" s="1" t="str">
        <f>"무서워!"</f>
        <v>무서워!</v>
      </c>
      <c r="D282" s="1" t="str">
        <f>"최형미 글;김혜연 그림"</f>
        <v>최형미 글;김혜연 그림</v>
      </c>
      <c r="E282" s="1" t="str">
        <f>"을파소"</f>
        <v>을파소</v>
      </c>
      <c r="F282" s="1" t="str">
        <f>"161 p.:천연색삽화;22 cm"</f>
        <v>161 p.:천연색삽화;22 cm</v>
      </c>
      <c r="G282" s="1"/>
    </row>
    <row r="283" spans="1:7" x14ac:dyDescent="0.3">
      <c r="A283" s="1" t="str">
        <f>"어린이도서관"</f>
        <v>어린이도서관</v>
      </c>
      <c r="B283" s="1" t="str">
        <f>"J813.8-흥98ㅍ"</f>
        <v>J813.8-흥98ㅍ</v>
      </c>
      <c r="C283" s="1" t="str">
        <f>"팔팔어묵탕 [그림책]"</f>
        <v>팔팔어묵탕 [그림책]</v>
      </c>
      <c r="D283" s="1" t="str">
        <f>"흥흥 지음"</f>
        <v>흥흥 지음</v>
      </c>
      <c r="E283" s="1" t="str">
        <f>"씨드북"</f>
        <v>씨드북</v>
      </c>
      <c r="F283" s="1" t="str">
        <f>"1책:삽화;29 cm"</f>
        <v>1책:삽화;29 cm</v>
      </c>
      <c r="G283" s="1"/>
    </row>
    <row r="284" spans="1:7" x14ac:dyDescent="0.3">
      <c r="A284" s="1" t="str">
        <f>"어린이도서관"</f>
        <v>어린이도서관</v>
      </c>
      <c r="B284" s="1" t="str">
        <f>"J813.8-흥98ㄱ"</f>
        <v>J813.8-흥98ㄱ</v>
      </c>
      <c r="C284" s="1" t="str">
        <f>"구이꼬칫집 [그림책]"</f>
        <v>구이꼬칫집 [그림책]</v>
      </c>
      <c r="D284" s="1" t="str">
        <f>"흥흥 지음"</f>
        <v>흥흥 지음</v>
      </c>
      <c r="E284" s="1" t="str">
        <f>"씨드북"</f>
        <v>씨드북</v>
      </c>
      <c r="F284" s="1" t="str">
        <f>"[41] p.:천연색삽화;29 cm"</f>
        <v>[41] p.:천연색삽화;29 cm</v>
      </c>
      <c r="G284" s="1"/>
    </row>
    <row r="285" spans="1:7" x14ac:dyDescent="0.3">
      <c r="A285" s="1" t="str">
        <f>"어린이도서관"</f>
        <v>어린이도서관</v>
      </c>
      <c r="B285" s="1" t="str">
        <f>"J813.8-흥98ㅈ"</f>
        <v>J813.8-흥98ㅈ</v>
      </c>
      <c r="C285" s="1" t="str">
        <f>"지루함 공장 [그림책]"</f>
        <v>지루함 공장 [그림책]</v>
      </c>
      <c r="D285" s="1" t="str">
        <f>"흥흥 글;정현진 그림"</f>
        <v>흥흥 글;정현진 그림</v>
      </c>
      <c r="E285" s="1" t="str">
        <f>"씨드북"</f>
        <v>씨드북</v>
      </c>
      <c r="F285" s="1" t="str">
        <f>"[28] p.:천연색삽화;28 cm"</f>
        <v>[28] p.:천연색삽화;28 cm</v>
      </c>
      <c r="G285" s="1"/>
    </row>
    <row r="286" spans="1:7" x14ac:dyDescent="0.3">
      <c r="A286" s="1" t="str">
        <f>"어린이도서관"</f>
        <v>어린이도서관</v>
      </c>
      <c r="B286" s="1" t="str">
        <f>"J813.8-흥98ㅊ"</f>
        <v>J813.8-흥98ㅊ</v>
      </c>
      <c r="C286" s="1" t="str">
        <f>"초조함 공장 [그림책]"</f>
        <v>초조함 공장 [그림책]</v>
      </c>
      <c r="D286" s="1" t="str">
        <f>"흥흥 글;정현진 그림"</f>
        <v>흥흥 글;정현진 그림</v>
      </c>
      <c r="E286" s="1" t="str">
        <f>"씨드북"</f>
        <v>씨드북</v>
      </c>
      <c r="F286" s="1" t="str">
        <f>"[26] p.:천연색삽화;28 cm"</f>
        <v>[26] p.:천연색삽화;28 cm</v>
      </c>
      <c r="G286" s="1"/>
    </row>
    <row r="287" spans="1:7" x14ac:dyDescent="0.3">
      <c r="A287" s="1" t="str">
        <f>"어린이도서관"</f>
        <v>어린이도서관</v>
      </c>
      <c r="B287" s="1" t="str">
        <f>"J507.5-곰225ㄴ-38"</f>
        <v>J507.5-곰225ㄴ-38</v>
      </c>
      <c r="C287" s="1" t="str">
        <f>"내일은 발명왕  : 본격 대결 과학발명 만화. 38, 음식과 발명"</f>
        <v>내일은 발명왕  : 본격 대결 과학발명 만화. 38, 음식과 발명</v>
      </c>
      <c r="D287" s="1" t="str">
        <f>"곰돌이 co. 글;홍종현 그림"</f>
        <v>곰돌이 co. 글;홍종현 그림</v>
      </c>
      <c r="E287" s="1" t="str">
        <f>"아이세움(미래엔)"</f>
        <v>아이세움(미래엔)</v>
      </c>
      <c r="F287" s="1" t="str">
        <f>"172 p.:전부천연색삽화;26 cm"</f>
        <v>172 p.:전부천연색삽화;26 cm</v>
      </c>
      <c r="G287" s="1"/>
    </row>
    <row r="288" spans="1:7" x14ac:dyDescent="0.3">
      <c r="A288" s="1" t="str">
        <f>"어린이도서관"</f>
        <v>어린이도서관</v>
      </c>
      <c r="B288" s="1" t="str">
        <f>"J813.8-김239만"</f>
        <v>J813.8-김239만</v>
      </c>
      <c r="C288" s="1" t="str">
        <f>"만복이네 떡집"</f>
        <v>만복이네 떡집</v>
      </c>
      <c r="D288" s="1" t="str">
        <f>"김리리 지음;이승현 그림"</f>
        <v>김리리 지음;이승현 그림</v>
      </c>
      <c r="E288" s="1" t="str">
        <f>"비룡소"</f>
        <v>비룡소</v>
      </c>
      <c r="F288" s="1" t="str">
        <f>"52 p.:삽화;23 cm"</f>
        <v>52 p.:삽화;23 cm</v>
      </c>
      <c r="G288" s="1"/>
    </row>
    <row r="289" spans="1:7" x14ac:dyDescent="0.3">
      <c r="A289" s="1" t="str">
        <f>"어린이도서관"</f>
        <v>어린이도서관</v>
      </c>
      <c r="B289" s="1" t="str">
        <f>"J843-서223ㅂ-4-하"</f>
        <v>J843-서223ㅂ-4-하</v>
      </c>
      <c r="C289" s="1" t="str">
        <f>"불의 날개와 어둠의 비밀. 하"</f>
        <v>불의 날개와 어둠의 비밀. 하</v>
      </c>
      <c r="D289" s="1" t="str">
        <f>"투이 T. 서덜랜드 지음;정은규 그림;강동혁 옮김"</f>
        <v>투이 T. 서덜랜드 지음;정은규 그림;강동혁 옮김</v>
      </c>
      <c r="E289" s="1" t="str">
        <f>"김영사"</f>
        <v>김영사</v>
      </c>
      <c r="F289" s="1" t="str">
        <f>"276 p.:삽화;20 cm"</f>
        <v>276 p.:삽화;20 cm</v>
      </c>
      <c r="G289" s="1"/>
    </row>
    <row r="290" spans="1:7" x14ac:dyDescent="0.3">
      <c r="A290" s="1" t="str">
        <f>"어린이도서관"</f>
        <v>어린이도서관</v>
      </c>
      <c r="B290" s="1" t="str">
        <f>"J843-서223ㅂ-4-상"</f>
        <v>J843-서223ㅂ-4-상</v>
      </c>
      <c r="C290" s="1" t="str">
        <f>"불의 날개와 어둠의 비밀. 상"</f>
        <v>불의 날개와 어둠의 비밀. 상</v>
      </c>
      <c r="D290" s="1" t="str">
        <f>"투이 T. 서덜랜드 지음;정은규 그림;강동혁 옮김"</f>
        <v>투이 T. 서덜랜드 지음;정은규 그림;강동혁 옮김</v>
      </c>
      <c r="E290" s="1" t="str">
        <f>"김영사"</f>
        <v>김영사</v>
      </c>
      <c r="F290" s="1" t="str">
        <f>"276 p.:삽화;19 cm"</f>
        <v>276 p.:삽화;19 cm</v>
      </c>
      <c r="G290" s="1"/>
    </row>
    <row r="291" spans="1:7" x14ac:dyDescent="0.3">
      <c r="A291" s="1" t="str">
        <f>"어린이도서관"</f>
        <v>어린이도서관</v>
      </c>
      <c r="B291" s="1" t="str">
        <f>"J843-서223ㅂ-3-하"</f>
        <v>J843-서223ㅂ-3-하</v>
      </c>
      <c r="C291" s="1" t="str">
        <f>"불의 날개와 비밀의 왕국. 하"</f>
        <v>불의 날개와 비밀의 왕국. 하</v>
      </c>
      <c r="D291" s="1" t="str">
        <f>"투이 T. 서덜랜드"</f>
        <v>투이 T. 서덜랜드</v>
      </c>
      <c r="E291" s="1" t="str">
        <f>"김영사"</f>
        <v>김영사</v>
      </c>
      <c r="F291" s="1" t="str">
        <f>"268 p.:삽화;20 cm"</f>
        <v>268 p.:삽화;20 cm</v>
      </c>
      <c r="G291" s="1"/>
    </row>
    <row r="292" spans="1:7" x14ac:dyDescent="0.3">
      <c r="A292" s="1" t="str">
        <f>"어린이도서관"</f>
        <v>어린이도서관</v>
      </c>
      <c r="B292" s="1" t="str">
        <f>"J843-서223ㅂ-2-하"</f>
        <v>J843-서223ㅂ-2-하</v>
      </c>
      <c r="C292" s="1" t="str">
        <f>"불의 날개와 잃어버린 후계자. 하"</f>
        <v>불의 날개와 잃어버린 후계자. 하</v>
      </c>
      <c r="D292" s="1" t="str">
        <f>"투이 T. 서덜랜드 지음;정은규 그림;강동혁 옮김"</f>
        <v>투이 T. 서덜랜드 지음;정은규 그림;강동혁 옮김</v>
      </c>
      <c r="E292" s="1" t="str">
        <f>"김영사"</f>
        <v>김영사</v>
      </c>
      <c r="F292" s="1" t="str">
        <f>"244 p.:삽화;20 cm"</f>
        <v>244 p.:삽화;20 cm</v>
      </c>
      <c r="G292" s="1"/>
    </row>
    <row r="293" spans="1:7" x14ac:dyDescent="0.3">
      <c r="A293" s="1" t="str">
        <f>"어린이도서관"</f>
        <v>어린이도서관</v>
      </c>
      <c r="B293" s="1" t="str">
        <f>"J843-서223ㅂ-5-하"</f>
        <v>J843-서223ㅂ-5-하</v>
      </c>
      <c r="C293" s="1" t="str">
        <f>"불의 날개와 예언의 밤. 하"</f>
        <v>불의 날개와 예언의 밤. 하</v>
      </c>
      <c r="D293" s="1" t="str">
        <f>"투이 T. 서덜랜드 지음;정은규 그림;강동혁 옮김"</f>
        <v>투이 T. 서덜랜드 지음;정은규 그림;강동혁 옮김</v>
      </c>
      <c r="E293" s="1" t="str">
        <f>"김영사"</f>
        <v>김영사</v>
      </c>
      <c r="F293" s="1" t="str">
        <f>"261 p.:삽화;20 cm"</f>
        <v>261 p.:삽화;20 cm</v>
      </c>
      <c r="G293" s="1"/>
    </row>
    <row r="294" spans="1:7" x14ac:dyDescent="0.3">
      <c r="A294" s="1" t="str">
        <f>"어린이도서관"</f>
        <v>어린이도서관</v>
      </c>
      <c r="B294" s="1" t="str">
        <f>"J843-서223ㅂ-2-상"</f>
        <v>J843-서223ㅂ-2-상</v>
      </c>
      <c r="C294" s="1" t="str">
        <f>"불의 날개와 잃어버린 후계자. 상"</f>
        <v>불의 날개와 잃어버린 후계자. 상</v>
      </c>
      <c r="D294" s="1" t="str">
        <f>"투이 T. 서덜랜드 지음;정은규 그림;강동혁 옮김"</f>
        <v>투이 T. 서덜랜드 지음;정은규 그림;강동혁 옮김</v>
      </c>
      <c r="E294" s="1" t="str">
        <f>"김영사"</f>
        <v>김영사</v>
      </c>
      <c r="F294" s="1" t="str">
        <f>"264 p.:삽화;20 cm"</f>
        <v>264 p.:삽화;20 cm</v>
      </c>
      <c r="G294" s="1"/>
    </row>
    <row r="295" spans="1:7" x14ac:dyDescent="0.3">
      <c r="A295" s="1" t="str">
        <f>"어린이도서관"</f>
        <v>어린이도서관</v>
      </c>
      <c r="B295" s="1" t="str">
        <f>"J843-서223ㅂ-6-상"</f>
        <v>J843-서223ㅂ-6-상</v>
      </c>
      <c r="C295" s="1" t="str">
        <f>"불의 날개와 떠오르는 달. 상"</f>
        <v>불의 날개와 떠오르는 달. 상</v>
      </c>
      <c r="D295" s="1" t="str">
        <f>"투이 T. 서덜랜드 지음;정은규 그림;강동혁 옮김"</f>
        <v>투이 T. 서덜랜드 지음;정은규 그림;강동혁 옮김</v>
      </c>
      <c r="E295" s="1" t="str">
        <f>"김영사"</f>
        <v>김영사</v>
      </c>
      <c r="F295" s="1" t="str">
        <f>"259 p.:삽화;19 cm"</f>
        <v>259 p.:삽화;19 cm</v>
      </c>
      <c r="G295" s="1"/>
    </row>
    <row r="296" spans="1:7" x14ac:dyDescent="0.3">
      <c r="A296" s="1" t="str">
        <f>"어린이도서관"</f>
        <v>어린이도서관</v>
      </c>
      <c r="B296" s="1" t="str">
        <f>"J843-서223ㅂ-5-상"</f>
        <v>J843-서223ㅂ-5-상</v>
      </c>
      <c r="C296" s="1" t="str">
        <f>"불의 날개와 예언의 밤. 상"</f>
        <v>불의 날개와 예언의 밤. 상</v>
      </c>
      <c r="D296" s="1" t="str">
        <f>"투이 T. 서덜랜드 지음;정은규 그림;강동혁 옮김"</f>
        <v>투이 T. 서덜랜드 지음;정은규 그림;강동혁 옮김</v>
      </c>
      <c r="E296" s="1" t="str">
        <f>"김영사"</f>
        <v>김영사</v>
      </c>
      <c r="F296" s="1" t="str">
        <f>"277 p.:삽화;20 cm"</f>
        <v>277 p.:삽화;20 cm</v>
      </c>
      <c r="G296" s="1"/>
    </row>
    <row r="297" spans="1:7" x14ac:dyDescent="0.3">
      <c r="A297" s="1" t="str">
        <f>"어린이도서관"</f>
        <v>어린이도서관</v>
      </c>
      <c r="B297" s="1" t="str">
        <f>"J843-서223ㅂ-6-하"</f>
        <v>J843-서223ㅂ-6-하</v>
      </c>
      <c r="C297" s="1" t="str">
        <f>"불의 날개와 떠오르는 달. 하"</f>
        <v>불의 날개와 떠오르는 달. 하</v>
      </c>
      <c r="D297" s="1" t="str">
        <f>"투이 T. 서덜랜드 지음;강동혁 옮김"</f>
        <v>투이 T. 서덜랜드 지음;강동혁 옮김</v>
      </c>
      <c r="E297" s="1" t="str">
        <f>"김영사"</f>
        <v>김영사</v>
      </c>
      <c r="F297" s="1" t="str">
        <f>"260 p.:삽화;20 cm"</f>
        <v>260 p.:삽화;20 cm</v>
      </c>
      <c r="G297" s="1"/>
    </row>
    <row r="298" spans="1:7" x14ac:dyDescent="0.3">
      <c r="A298" s="1" t="str">
        <f>"어린이도서관"</f>
        <v>어린이도서관</v>
      </c>
      <c r="B298" s="1" t="str">
        <f>"J843-서223ㅂ-8-하"</f>
        <v>J843-서223ㅂ-8-하</v>
      </c>
      <c r="C298" s="1" t="str">
        <f>"불의 날개와 선택의 시간. 하"</f>
        <v>불의 날개와 선택의 시간. 하</v>
      </c>
      <c r="D298" s="1" t="str">
        <f>"투이 T. 서덜랜드 지음;정은규 그림;강동혁 옮김"</f>
        <v>투이 T. 서덜랜드 지음;정은규 그림;강동혁 옮김</v>
      </c>
      <c r="E298" s="1" t="str">
        <f>"김영사"</f>
        <v>김영사</v>
      </c>
      <c r="F298" s="1" t="str">
        <f>"220 p.:삽화;20 cm"</f>
        <v>220 p.:삽화;20 cm</v>
      </c>
      <c r="G298" s="1"/>
    </row>
    <row r="299" spans="1:7" x14ac:dyDescent="0.3">
      <c r="A299" s="1" t="str">
        <f>"어린이도서관"</f>
        <v>어린이도서관</v>
      </c>
      <c r="B299" s="1" t="str">
        <f>"J843-서223ㅂ-7-하"</f>
        <v>J843-서223ㅂ-7-하</v>
      </c>
      <c r="C299" s="1" t="str">
        <f>"불의 날개와 얼어붙은 시간. 하"</f>
        <v>불의 날개와 얼어붙은 시간. 하</v>
      </c>
      <c r="D299" s="1" t="str">
        <f>"투이 T. 서덜랜드 지음;강동혁 옮김"</f>
        <v>투이 T. 서덜랜드 지음;강동혁 옮김</v>
      </c>
      <c r="E299" s="1" t="str">
        <f>"김영사"</f>
        <v>김영사</v>
      </c>
      <c r="F299" s="1" t="str">
        <f>"244 p.:삽화;20 cm"</f>
        <v>244 p.:삽화;20 cm</v>
      </c>
      <c r="G299" s="1"/>
    </row>
    <row r="300" spans="1:7" x14ac:dyDescent="0.3">
      <c r="A300" s="1" t="str">
        <f>"어린이도서관"</f>
        <v>어린이도서관</v>
      </c>
      <c r="B300" s="1" t="str">
        <f>"J843-서223ㅂ-7-상"</f>
        <v>J843-서223ㅂ-7-상</v>
      </c>
      <c r="C300" s="1" t="str">
        <f>"불의 날개와 얼어붙은 시간. 상"</f>
        <v>불의 날개와 얼어붙은 시간. 상</v>
      </c>
      <c r="D300" s="1" t="str">
        <f>"투이 T. 서덜랜드 지음;강동혁 옮김;정은규 그림"</f>
        <v>투이 T. 서덜랜드 지음;강동혁 옮김;정은규 그림</v>
      </c>
      <c r="E300" s="1" t="str">
        <f>"김영사"</f>
        <v>김영사</v>
      </c>
      <c r="F300" s="1" t="str">
        <f>"248 p.:천연색삽화;20 cm"</f>
        <v>248 p.:천연색삽화;20 cm</v>
      </c>
      <c r="G300" s="1"/>
    </row>
    <row r="301" spans="1:7" x14ac:dyDescent="0.3">
      <c r="A301" s="1" t="str">
        <f>"어린이도서관"</f>
        <v>어린이도서관</v>
      </c>
      <c r="B301" s="1" t="str">
        <f>"J843-서223ㅂ-9-하"</f>
        <v>J843-서223ㅂ-9-하</v>
      </c>
      <c r="C301" s="1" t="str">
        <f>"불의 날개와 힘의 발톱. 하"</f>
        <v>불의 날개와 힘의 발톱. 하</v>
      </c>
      <c r="D301" s="1" t="str">
        <f>"투이 T. 서덜랜드 지음;강동혁 옮김;정은규 그림"</f>
        <v>투이 T. 서덜랜드 지음;강동혁 옮김;정은규 그림</v>
      </c>
      <c r="E301" s="1" t="str">
        <f>"김영사"</f>
        <v>김영사</v>
      </c>
      <c r="F301" s="1" t="str">
        <f>"268 p.:삽화;20 cm"</f>
        <v>268 p.:삽화;20 cm</v>
      </c>
      <c r="G301" s="1"/>
    </row>
    <row r="302" spans="1:7" x14ac:dyDescent="0.3">
      <c r="A302" s="1" t="str">
        <f>"어린이도서관"</f>
        <v>어린이도서관</v>
      </c>
      <c r="B302" s="1" t="str">
        <f>"J843-서223ㅂ-9-상"</f>
        <v>J843-서223ㅂ-9-상</v>
      </c>
      <c r="C302" s="1" t="str">
        <f>"불의 날개와 힘의 발톱. 상"</f>
        <v>불의 날개와 힘의 발톱. 상</v>
      </c>
      <c r="D302" s="1" t="str">
        <f>"투이 T. 서덜랜드 지음;강동혁 옮김;정은규 그림"</f>
        <v>투이 T. 서덜랜드 지음;강동혁 옮김;정은규 그림</v>
      </c>
      <c r="E302" s="1" t="str">
        <f>"김영사"</f>
        <v>김영사</v>
      </c>
      <c r="F302" s="1" t="str">
        <f>"260 p.:삽화;20 cm"</f>
        <v>260 p.:삽화;20 cm</v>
      </c>
      <c r="G302" s="1"/>
    </row>
    <row r="303" spans="1:7" x14ac:dyDescent="0.3">
      <c r="A303" s="1" t="str">
        <f>"어린이도서관"</f>
        <v>어린이도서관</v>
      </c>
      <c r="B303" s="1" t="str">
        <f>"J843-서223ㅂ-1-하"</f>
        <v>J843-서223ㅂ-1-하</v>
      </c>
      <c r="C303" s="1" t="str">
        <f>"불의 날개와 예언의 시간. 하"</f>
        <v>불의 날개와 예언의 시간. 하</v>
      </c>
      <c r="D303" s="1" t="str">
        <f>"투이 T. 서덜랜드 지음;정은규 그림;강동혁 옮김"</f>
        <v>투이 T. 서덜랜드 지음;정은규 그림;강동혁 옮김</v>
      </c>
      <c r="E303" s="1" t="str">
        <f>"김영사"</f>
        <v>김영사</v>
      </c>
      <c r="F303" s="1" t="str">
        <f>"340 p.:삽화;20 cm"</f>
        <v>340 p.:삽화;20 cm</v>
      </c>
      <c r="G303" s="1"/>
    </row>
    <row r="304" spans="1:7" x14ac:dyDescent="0.3">
      <c r="A304" s="1" t="str">
        <f>"어린이도서관"</f>
        <v>어린이도서관</v>
      </c>
      <c r="B304" s="1" t="str">
        <f>"J843-서223ㅂ-1-상"</f>
        <v>J843-서223ㅂ-1-상</v>
      </c>
      <c r="C304" s="1" t="str">
        <f>"불의 날개와 예언의 시간. 상"</f>
        <v>불의 날개와 예언의 시간. 상</v>
      </c>
      <c r="D304" s="1" t="str">
        <f>"투이 T. 서덜랜드 지음;정은규 그림;강동혁 옮김"</f>
        <v>투이 T. 서덜랜드 지음;정은규 그림;강동혁 옮김</v>
      </c>
      <c r="E304" s="1" t="str">
        <f>"김영사"</f>
        <v>김영사</v>
      </c>
      <c r="F304" s="1" t="str">
        <f>"240 p.:삽화;20 cm"</f>
        <v>240 p.:삽화;20 cm</v>
      </c>
      <c r="G304" s="1"/>
    </row>
    <row r="305" spans="1:7" x14ac:dyDescent="0.3">
      <c r="A305" s="1" t="str">
        <f>"어린이도서관"</f>
        <v>어린이도서관</v>
      </c>
      <c r="B305" s="1" t="str">
        <f>"J843-서223ㅂ-11-상"</f>
        <v>J843-서223ㅂ-11-상</v>
      </c>
      <c r="C305" s="1" t="str">
        <f>"불의 날개와 잃어버린 대륙. 상"</f>
        <v>불의 날개와 잃어버린 대륙. 상</v>
      </c>
      <c r="D305" s="1" t="str">
        <f>"투이 T. 서덜랜드 지음;강동혁 옮김;정은규 그림"</f>
        <v>투이 T. 서덜랜드 지음;강동혁 옮김;정은규 그림</v>
      </c>
      <c r="E305" s="1" t="str">
        <f>"김영사"</f>
        <v>김영사</v>
      </c>
      <c r="F305" s="1" t="str">
        <f>"255 p.:삽화;20 cm"</f>
        <v>255 p.:삽화;20 cm</v>
      </c>
      <c r="G305" s="1"/>
    </row>
    <row r="306" spans="1:7" x14ac:dyDescent="0.3">
      <c r="A306" s="1" t="str">
        <f>"어린이도서관"</f>
        <v>어린이도서관</v>
      </c>
      <c r="B306" s="1" t="str">
        <f>"J843-서223ㅂ-11-하"</f>
        <v>J843-서223ㅂ-11-하</v>
      </c>
      <c r="C306" s="1" t="str">
        <f>"불의 날개와 잃어버린 대륙. 하"</f>
        <v>불의 날개와 잃어버린 대륙. 하</v>
      </c>
      <c r="D306" s="1" t="str">
        <f>"투이 T. 서덜랜드 지음;강동혁 옮김;정은규 그림"</f>
        <v>투이 T. 서덜랜드 지음;강동혁 옮김;정은규 그림</v>
      </c>
      <c r="E306" s="1" t="str">
        <f>"김영사"</f>
        <v>김영사</v>
      </c>
      <c r="F306" s="1" t="str">
        <f>"260p.:삽화;20cm"</f>
        <v>260p.:삽화;20cm</v>
      </c>
      <c r="G306" s="1"/>
    </row>
    <row r="307" spans="1:7" x14ac:dyDescent="0.3">
      <c r="A307" s="1" t="str">
        <f>"어린이도서관"</f>
        <v>어린이도서관</v>
      </c>
      <c r="B307" s="1" t="str">
        <f>"J843-서223ㅂ-10-하"</f>
        <v>J843-서223ㅂ-10-하</v>
      </c>
      <c r="C307" s="1" t="str">
        <f>"불의 날개와 어둠의 용. 하"</f>
        <v>불의 날개와 어둠의 용. 하</v>
      </c>
      <c r="D307" s="1" t="str">
        <f>"투이 T. 서덜랜드 지음;강동혁 옮김;정은규 그림"</f>
        <v>투이 T. 서덜랜드 지음;강동혁 옮김;정은규 그림</v>
      </c>
      <c r="E307" s="1" t="str">
        <f>"주니어김영사:김영사"</f>
        <v>주니어김영사:김영사</v>
      </c>
      <c r="F307" s="1" t="str">
        <f>"333 p.:삽화;20 cm"</f>
        <v>333 p.:삽화;20 cm</v>
      </c>
      <c r="G307" s="1"/>
    </row>
    <row r="308" spans="1:7" x14ac:dyDescent="0.3">
      <c r="A308" s="1" t="str">
        <f>"어린이도서관"</f>
        <v>어린이도서관</v>
      </c>
      <c r="B308" s="1" t="str">
        <f>"J843-서223ㅂ-10-상"</f>
        <v>J843-서223ㅂ-10-상</v>
      </c>
      <c r="C308" s="1" t="str">
        <f>"불의 날개와 어둠의 용. 상"</f>
        <v>불의 날개와 어둠의 용. 상</v>
      </c>
      <c r="D308" s="1" t="str">
        <f>"투이 T. 서덜랜드 지음;강동혁 옮김;정은규 그림"</f>
        <v>투이 T. 서덜랜드 지음;강동혁 옮김;정은규 그림</v>
      </c>
      <c r="E308" s="1" t="str">
        <f>"김영사"</f>
        <v>김영사</v>
      </c>
      <c r="F308" s="1" t="str">
        <f>"344 p.:삽화;20 cm"</f>
        <v>344 p.:삽화;20 cm</v>
      </c>
      <c r="G308" s="1"/>
    </row>
    <row r="309" spans="1:7" x14ac:dyDescent="0.3">
      <c r="A309" s="1" t="str">
        <f>"어린이도서관"</f>
        <v>어린이도서관</v>
      </c>
      <c r="B309" s="1" t="str">
        <f>"J843-서223ㅂ-외전-하"</f>
        <v>J843-서223ㅂ-외전-하</v>
      </c>
      <c r="C309" s="1" t="str">
        <f>"불의 날개와 다크스토커의 전설. 하"</f>
        <v>불의 날개와 다크스토커의 전설. 하</v>
      </c>
      <c r="D309" s="1" t="str">
        <f>"투이 T. 서덜랜드 지음;정은규 그림;강동혁 옮김"</f>
        <v>투이 T. 서덜랜드 지음;정은규 그림;강동혁 옮김</v>
      </c>
      <c r="E309" s="1" t="str">
        <f>"김영사"</f>
        <v>김영사</v>
      </c>
      <c r="F309" s="1" t="str">
        <f>"344 p.:삽화;20 cm"</f>
        <v>344 p.:삽화;20 cm</v>
      </c>
      <c r="G309" s="1"/>
    </row>
    <row r="310" spans="1:7" x14ac:dyDescent="0.3">
      <c r="A310" s="1" t="str">
        <f>"어린이도서관"</f>
        <v>어린이도서관</v>
      </c>
      <c r="B310" s="1" t="str">
        <f>"J843-서223ㅂ-외전-상"</f>
        <v>J843-서223ㅂ-외전-상</v>
      </c>
      <c r="C310" s="1" t="str">
        <f>"불의 날개와 다크스토커의 전설. 상"</f>
        <v>불의 날개와 다크스토커의 전설. 상</v>
      </c>
      <c r="D310" s="1" t="str">
        <f>"투이 T. 서덜랜드 지음;정은규 그림;강동혁 옮김"</f>
        <v>투이 T. 서덜랜드 지음;정은규 그림;강동혁 옮김</v>
      </c>
      <c r="E310" s="1" t="str">
        <f>"김영사"</f>
        <v>김영사</v>
      </c>
      <c r="F310" s="1" t="str">
        <f>"344 p.:삽화;20 cm"</f>
        <v>344 p.:삽화;20 cm</v>
      </c>
      <c r="G310" s="1"/>
    </row>
    <row r="311" spans="1:7" x14ac:dyDescent="0.3">
      <c r="A311" s="1" t="str">
        <f>"어린이도서관"</f>
        <v>어린이도서관</v>
      </c>
      <c r="B311" s="1" t="str">
        <f>"J404-원75ㅇ-1"</f>
        <v>J404-원75ㅇ-1</v>
      </c>
      <c r="C311" s="1" t="str">
        <f>"엉뚱하지만 과학입니다. 1, 개가 똥을 누는 방향은?"</f>
        <v>엉뚱하지만 과학입니다. 1, 개가 똥을 누는 방향은?</v>
      </c>
      <c r="D311" s="1" t="str">
        <f>"원종우,최향숙 [공]글;김성연 그림"</f>
        <v>원종우,최향숙 [공]글;김성연 그림</v>
      </c>
      <c r="E311" s="1" t="str">
        <f>"와이즈만BOOKS"</f>
        <v>와이즈만BOOKS</v>
      </c>
      <c r="F311" s="1" t="str">
        <f>"88 p.:삽화;23 cm"</f>
        <v>88 p.:삽화;23 cm</v>
      </c>
      <c r="G311" s="1"/>
    </row>
    <row r="312" spans="1:7" x14ac:dyDescent="0.3">
      <c r="A312" s="1" t="str">
        <f>"어린이도서관"</f>
        <v>어린이도서관</v>
      </c>
      <c r="B312" s="1" t="str">
        <f>"J404-원75ㅇ-3"</f>
        <v>J404-원75ㅇ-3</v>
      </c>
      <c r="C312" s="1" t="str">
        <f>"엉뚱하지만 과학입니다. 3, 방귀로 말한다고?"</f>
        <v>엉뚱하지만 과학입니다. 3, 방귀로 말한다고?</v>
      </c>
      <c r="D312" s="1" t="str">
        <f>"원종우;최향숙 [공]글;김성은 그림"</f>
        <v>원종우;최향숙 [공]글;김성은 그림</v>
      </c>
      <c r="E312" s="1" t="str">
        <f>"와이즈만BOOKS"</f>
        <v>와이즈만BOOKS</v>
      </c>
      <c r="F312" s="1" t="str">
        <f>"88 p.:천연색삽화;23 cm"</f>
        <v>88 p.:천연색삽화;23 cm</v>
      </c>
      <c r="G312" s="1"/>
    </row>
    <row r="313" spans="1:7" x14ac:dyDescent="0.3">
      <c r="A313" s="1" t="str">
        <f>"어린이도서관"</f>
        <v>어린이도서관</v>
      </c>
      <c r="B313" s="1" t="str">
        <f>"J404-원75ㅇ-4"</f>
        <v>J404-원75ㅇ-4</v>
      </c>
      <c r="C313" s="1" t="str">
        <f>"엉뚱하지만 과학입니다. 4, 우리 화성으로 이사 갈래?"</f>
        <v>엉뚱하지만 과학입니다. 4, 우리 화성으로 이사 갈래?</v>
      </c>
      <c r="D313" s="1" t="str">
        <f>"원종우,최향숙 [공]글;미늉킴 그림"</f>
        <v>원종우,최향숙 [공]글;미늉킴 그림</v>
      </c>
      <c r="E313" s="1" t="str">
        <f>"와이즈만BOOKS"</f>
        <v>와이즈만BOOKS</v>
      </c>
      <c r="F313" s="1" t="str">
        <f>"88 p.:삽화;23 cm"</f>
        <v>88 p.:삽화;23 cm</v>
      </c>
      <c r="G313" s="1"/>
    </row>
    <row r="314" spans="1:7" x14ac:dyDescent="0.3">
      <c r="A314" s="1" t="str">
        <f>"어린이도서관"</f>
        <v>어린이도서관</v>
      </c>
      <c r="B314" s="1" t="str">
        <f>"J404-원75ㅇ-5"</f>
        <v>J404-원75ㅇ-5</v>
      </c>
      <c r="C314" s="1" t="str">
        <f>"엉뚱하지만 과학입니다. 5, 오줌을 참으면 생기는 일"</f>
        <v>엉뚱하지만 과학입니다. 5, 오줌을 참으면 생기는 일</v>
      </c>
      <c r="D314" s="1" t="str">
        <f>"원종우,최향숙 [공]글;이철민 그림"</f>
        <v>원종우,최향숙 [공]글;이철민 그림</v>
      </c>
      <c r="E314" s="1" t="str">
        <f>"와이즈만BOOKS"</f>
        <v>와이즈만BOOKS</v>
      </c>
      <c r="F314" s="1" t="str">
        <f>"88 p.:천연색삽화;23 cm"</f>
        <v>88 p.:천연색삽화;23 cm</v>
      </c>
      <c r="G314" s="1"/>
    </row>
    <row r="315" spans="1:7" x14ac:dyDescent="0.3">
      <c r="A315" s="1" t="str">
        <f>"어린이도서관"</f>
        <v>어린이도서관</v>
      </c>
      <c r="B315" s="1" t="str">
        <f>"J404-원75ㅇ-6"</f>
        <v>J404-원75ㅇ-6</v>
      </c>
      <c r="C315" s="1" t="str">
        <f>"엉뚱하지만 과학입니다. 6, 캔 우유나 팩 콜라는 왜 없지?"</f>
        <v>엉뚱하지만 과학입니다. 6, 캔 우유나 팩 콜라는 왜 없지?</v>
      </c>
      <c r="D315" s="1" t="str">
        <f>"원종우,최향숙 [공]글;정민영 그림"</f>
        <v>원종우,최향숙 [공]글;정민영 그림</v>
      </c>
      <c r="E315" s="1" t="str">
        <f>"와이즈만BOOKS"</f>
        <v>와이즈만BOOKS</v>
      </c>
      <c r="F315" s="1" t="str">
        <f>"88 p.:천연색삽화;23 cm"</f>
        <v>88 p.:천연색삽화;23 cm</v>
      </c>
      <c r="G315" s="1"/>
    </row>
    <row r="316" spans="1:7" x14ac:dyDescent="0.3">
      <c r="A316" s="1" t="str">
        <f>"어린이도서관"</f>
        <v>어린이도서관</v>
      </c>
      <c r="B316" s="1" t="str">
        <f>"J404-원75ㅇ-7"</f>
        <v>J404-원75ㅇ-7</v>
      </c>
      <c r="C316" s="1" t="str">
        <f>"엉뚱하지만 과학입니다. 7, 나만 몰랐던 코딱지의 정체"</f>
        <v>엉뚱하지만 과학입니다. 7, 나만 몰랐던 코딱지의 정체</v>
      </c>
      <c r="D316" s="1" t="str">
        <f>"원종우,최향숙 [공]글;젠틀멜로우 그림"</f>
        <v>원종우,최향숙 [공]글;젠틀멜로우 그림</v>
      </c>
      <c r="E316" s="1" t="str">
        <f>"와이즈만BOOKS"</f>
        <v>와이즈만BOOKS</v>
      </c>
      <c r="F316" s="1" t="str">
        <f>"91 p.:삽화;23 cm"</f>
        <v>91 p.:삽화;23 cm</v>
      </c>
      <c r="G316" s="1"/>
    </row>
    <row r="317" spans="1:7" x14ac:dyDescent="0.3">
      <c r="A317" s="1" t="str">
        <f>"어린이도서관"</f>
        <v>어린이도서관</v>
      </c>
      <c r="B317" s="1" t="str">
        <f>"J863-페233ㅅ"</f>
        <v>J863-페233ㅅ</v>
      </c>
      <c r="C317" s="1" t="str">
        <f>"세상에서 가장 아름다운 여름 [그림책]"</f>
        <v>세상에서 가장 아름다운 여름 [그림책]</v>
      </c>
      <c r="D317" s="1" t="str">
        <f>"델핀 페레 지음;백수린 옮김"</f>
        <v>델핀 페레 지음;백수린 옮김</v>
      </c>
      <c r="E317" s="1" t="str">
        <f>"창비"</f>
        <v>창비</v>
      </c>
      <c r="F317" s="1" t="str">
        <f>"128 p.:천연색삽화;25 cm"</f>
        <v>128 p.:천연색삽화;25 cm</v>
      </c>
      <c r="G317" s="1"/>
    </row>
    <row r="318" spans="1:7" x14ac:dyDescent="0.3">
      <c r="A318" s="1" t="str">
        <f>"어린이도서관"</f>
        <v>어린이도서관</v>
      </c>
      <c r="B318" s="1" t="str">
        <f>"J813.8-천77앵"</f>
        <v>J813.8-천77앵</v>
      </c>
      <c r="C318" s="1" t="str">
        <f>"앵 [그림책]"</f>
        <v>앵 [그림책]</v>
      </c>
      <c r="D318" s="1" t="str">
        <f>"천준형 글·그림"</f>
        <v>천준형 글·그림</v>
      </c>
      <c r="E318" s="1" t="str">
        <f>"노란돼지"</f>
        <v>노란돼지</v>
      </c>
      <c r="F318" s="1" t="str">
        <f>"[42] p.:천연색삽화;27 cm"</f>
        <v>[42] p.:천연색삽화;27 cm</v>
      </c>
      <c r="G318" s="1"/>
    </row>
    <row r="319" spans="1:7" x14ac:dyDescent="0.3">
      <c r="A319" s="1" t="str">
        <f>"어린이도서관"</f>
        <v>어린이도서관</v>
      </c>
      <c r="B319" s="1" t="str">
        <f>"J863-칼239한"</f>
        <v>J863-칼239한</v>
      </c>
      <c r="C319" s="1" t="str">
        <f>"한 번 뱀파이어는 영원한 뱀파이어! [그림책]"</f>
        <v>한 번 뱀파이어는 영원한 뱀파이어! [그림책]</v>
      </c>
      <c r="D319" s="1" t="str">
        <f>"다비드 칼리 글;세바스티앙 무랭 그림;바람숲아이 옮김"</f>
        <v>다비드 칼리 글;세바스티앙 무랭 그림;바람숲아이 옮김</v>
      </c>
      <c r="E319" s="1" t="str">
        <f>"봄개울"</f>
        <v>봄개울</v>
      </c>
      <c r="F319" s="1" t="str">
        <f>"[32] p.:천연색삽화;29 cm"</f>
        <v>[32] p.:천연색삽화;29 cm</v>
      </c>
      <c r="G319" s="1"/>
    </row>
    <row r="320" spans="1:7" x14ac:dyDescent="0.3">
      <c r="A320" s="1" t="str">
        <f>"어린이도서관"</f>
        <v>어린이도서관</v>
      </c>
      <c r="B320" s="1" t="str">
        <f>"J843-도213ㅂ"</f>
        <v>J843-도213ㅂ</v>
      </c>
      <c r="C320" s="1" t="str">
        <f>"빗자루 타고 붕붕붕 [그림책]"</f>
        <v>빗자루 타고 붕붕붕 [그림책]</v>
      </c>
      <c r="D320" s="1" t="str">
        <f>"줄리아 도널드슨 글;악셀 셰플러 그림;노은정 옮김"</f>
        <v>줄리아 도널드슨 글;악셀 셰플러 그림;노은정 옮김</v>
      </c>
      <c r="E320" s="1" t="str">
        <f>"비룡소"</f>
        <v>비룡소</v>
      </c>
      <c r="F320" s="1" t="str">
        <f>"[24] p.:천연색삽화;29 cm"</f>
        <v>[24] p.:천연색삽화;29 cm</v>
      </c>
      <c r="G320" s="1"/>
    </row>
    <row r="321" spans="1:7" x14ac:dyDescent="0.3">
      <c r="A321" s="1" t="str">
        <f>"어린이도서관"</f>
        <v>어린이도서관</v>
      </c>
      <c r="B321" s="1" t="str">
        <f>"J653-머233ㅁ"</f>
        <v>J653-머233ㅁ</v>
      </c>
      <c r="C321" s="1" t="str">
        <f>"모네의 고양이 [그림책]"</f>
        <v>모네의 고양이 [그림책]</v>
      </c>
      <c r="D321" s="1" t="str">
        <f>"릴리 머레이 씀;베키 카메론 그림;김하니 옮김"</f>
        <v>릴리 머레이 씀;베키 카메론 그림;김하니 옮김</v>
      </c>
      <c r="E321" s="1" t="str">
        <f>"아르카디아"</f>
        <v>아르카디아</v>
      </c>
      <c r="F321" s="1" t="str">
        <f>"[30] p.:천연색삽화;26 x 29 cm"</f>
        <v>[30] p.:천연색삽화;26 x 29 cm</v>
      </c>
      <c r="G321" s="1"/>
    </row>
    <row r="322" spans="1:7" x14ac:dyDescent="0.3">
      <c r="A322" s="1" t="str">
        <f>"어린이도서관"</f>
        <v>어린이도서관</v>
      </c>
      <c r="B322" s="1" t="str">
        <f>"J813.8-박446ㅂ"</f>
        <v>J813.8-박446ㅂ</v>
      </c>
      <c r="C322" s="1" t="str">
        <f>"방귀 파워 뿡 [그림책]"</f>
        <v>방귀 파워 뿡 [그림책]</v>
      </c>
      <c r="D322" s="1" t="str">
        <f>"박병주 글;이경국 그림"</f>
        <v>박병주 글;이경국 그림</v>
      </c>
      <c r="E322" s="1" t="str">
        <f>"올리"</f>
        <v>올리</v>
      </c>
      <c r="F322" s="1" t="str">
        <f>"[32] p.:천연색삽화;27 cm"</f>
        <v>[32] p.:천연색삽화;27 cm</v>
      </c>
      <c r="G322" s="1"/>
    </row>
    <row r="323" spans="1:7" x14ac:dyDescent="0.3">
      <c r="A323" s="1" t="str">
        <f>"어린이도서관"</f>
        <v>어린이도서관</v>
      </c>
      <c r="B323" s="1" t="str">
        <f>"J833.8-이597ㅇ"</f>
        <v>J833.8-이597ㅇ</v>
      </c>
      <c r="C323" s="1" t="str">
        <f>"왕의 과자 [그림책]"</f>
        <v>왕의 과자 [그림책]</v>
      </c>
      <c r="D323" s="1" t="str">
        <f>"이시이 무쓰미 글;구라하시 레이 그림;고향옥 옮김"</f>
        <v>이시이 무쓰미 글;구라하시 레이 그림;고향옥 옮김</v>
      </c>
      <c r="E323" s="1" t="str">
        <f>"문학과지성사"</f>
        <v>문학과지성사</v>
      </c>
      <c r="F323" s="1" t="str">
        <f>"[31] p.:천연색삽화;28 cm"</f>
        <v>[31] p.:천연색삽화;28 cm</v>
      </c>
      <c r="G323" s="1"/>
    </row>
    <row r="324" spans="1:7" x14ac:dyDescent="0.3">
      <c r="A324" s="1" t="str">
        <f>"어린이도서관"</f>
        <v>어린이도서관</v>
      </c>
      <c r="B324" s="1" t="str">
        <f>"J999-이94ㅌ"</f>
        <v>J999-이94ㅌ</v>
      </c>
      <c r="C324" s="1" t="str">
        <f>"태극기는 참 쉽다 [그림책]"</f>
        <v>태극기는 참 쉽다 [그림책]</v>
      </c>
      <c r="D324" s="1" t="str">
        <f>"이형진 글 그림"</f>
        <v>이형진 글 그림</v>
      </c>
      <c r="E324" s="1" t="str">
        <f>"풀빛"</f>
        <v>풀빛</v>
      </c>
      <c r="F324" s="1" t="str">
        <f>"[32] p.:천연색삽화;28 cm"</f>
        <v>[32] p.:천연색삽화;28 cm</v>
      </c>
      <c r="G324" s="1"/>
    </row>
    <row r="325" spans="1:7" x14ac:dyDescent="0.3">
      <c r="A325" s="1" t="str">
        <f>"어린이도서관"</f>
        <v>어린이도서관</v>
      </c>
      <c r="B325" s="1" t="str">
        <f>"J813.8-안96ㅁ"</f>
        <v>J813.8-안96ㅁ</v>
      </c>
      <c r="C325" s="1" t="str">
        <f>"말도 안 되는 이야기 [그림책]"</f>
        <v>말도 안 되는 이야기 [그림책]</v>
      </c>
      <c r="D325" s="1" t="str">
        <f>"안효림 글·그림"</f>
        <v>안효림 글·그림</v>
      </c>
      <c r="E325" s="1" t="str">
        <f>"길벗어린이"</f>
        <v>길벗어린이</v>
      </c>
      <c r="F325" s="1" t="str">
        <f>"[32] p.:천연색삽화;23 x 25 cm"</f>
        <v>[32] p.:천연색삽화;23 x 25 cm</v>
      </c>
      <c r="G325" s="1"/>
    </row>
    <row r="326" spans="1:7" x14ac:dyDescent="0.3">
      <c r="A326" s="1" t="str">
        <f>"어린이도서관"</f>
        <v>어린이도서관</v>
      </c>
      <c r="B326" s="1" t="str">
        <f>"J843-코223ㄱ"</f>
        <v>J843-코223ㄱ</v>
      </c>
      <c r="C326" s="1" t="str">
        <f>"겁쟁이 에버그린 [그림책] : 두근두근 첫 심부름"</f>
        <v>겁쟁이 에버그린 [그림책] : 두근두근 첫 심부름</v>
      </c>
      <c r="D326" s="1" t="str">
        <f>"매튜 코델 글·그림;이상희 옮김"</f>
        <v>매튜 코델 글·그림;이상희 옮김</v>
      </c>
      <c r="E326" s="1" t="str">
        <f>"미세기"</f>
        <v>미세기</v>
      </c>
      <c r="F326" s="1" t="str">
        <f>"1책(면수없음):천연색삽화;28 cm"</f>
        <v>1책(면수없음):천연색삽화;28 cm</v>
      </c>
      <c r="G326" s="1"/>
    </row>
    <row r="327" spans="1:7" x14ac:dyDescent="0.3">
      <c r="A327" s="1" t="str">
        <f>"어린이도서관"</f>
        <v>어린이도서관</v>
      </c>
      <c r="B327" s="1" t="str">
        <f>"J843-데6923ㅅ"</f>
        <v>J843-데6923ㅅ</v>
      </c>
      <c r="C327" s="1" t="str">
        <f>"사랑은 여기에 있어 [그림책]"</f>
        <v>사랑은 여기에 있어 [그림책]</v>
      </c>
      <c r="D327" s="1" t="str">
        <f>"나탈리 데이비스 글;김민지 그림;이수현 옮김"</f>
        <v>나탈리 데이비스 글;김민지 그림;이수현 옮김</v>
      </c>
      <c r="E327" s="1" t="str">
        <f>"요요 :다산북스"</f>
        <v>요요 :다산북스</v>
      </c>
      <c r="F327" s="1" t="str">
        <f>"[29] p.:천연색삽화;26 cm"</f>
        <v>[29] p.:천연색삽화;26 cm</v>
      </c>
      <c r="G327" s="1"/>
    </row>
    <row r="328" spans="1:7" x14ac:dyDescent="0.3">
      <c r="A328" s="1" t="str">
        <f>"어린이도서관"</f>
        <v>어린이도서관</v>
      </c>
      <c r="B328" s="1" t="str">
        <f>"J813.8-김53623ㄱ"</f>
        <v>J813.8-김53623ㄱ</v>
      </c>
      <c r="C328" s="1" t="str">
        <f>"귤 사람 [그림책]"</f>
        <v>귤 사람 [그림책]</v>
      </c>
      <c r="D328" s="1" t="str">
        <f>"김성라 글·그림"</f>
        <v>김성라 글·그림</v>
      </c>
      <c r="E328" s="1" t="str">
        <f>"사계절"</f>
        <v>사계절</v>
      </c>
      <c r="F328" s="1" t="str">
        <f>"[59] p.:전부천연색삽화;26 cm"</f>
        <v>[59] p.:전부천연색삽화;26 cm</v>
      </c>
      <c r="G328" s="1"/>
    </row>
    <row r="329" spans="1:7" x14ac:dyDescent="0.3">
      <c r="A329" s="1" t="str">
        <f>"어린이도서관"</f>
        <v>어린이도서관</v>
      </c>
      <c r="B329" s="1" t="str">
        <f>"J400-흔91ㅎ-8"</f>
        <v>J400-흔91ㅎ-8</v>
      </c>
      <c r="C329" s="1" t="str">
        <f>"(흔한남매) 과학 탐험대. 8, 생물 2"</f>
        <v>(흔한남매) 과학 탐험대. 8, 생물 2</v>
      </c>
      <c r="D329" s="1" t="str">
        <f>"흔한남매 원작;김언정,이현진 [공]글;김덕영 그림"</f>
        <v>흔한남매 원작;김언정,이현진 [공]글;김덕영 그림</v>
      </c>
      <c r="E329" s="1" t="str">
        <f>"주니어김영사:김영사"</f>
        <v>주니어김영사:김영사</v>
      </c>
      <c r="F329" s="1" t="str">
        <f>"180 p.:전부천연색삽화;26 cm"</f>
        <v>180 p.:전부천연색삽화;26 cm</v>
      </c>
      <c r="G329" s="1"/>
    </row>
    <row r="330" spans="1:7" x14ac:dyDescent="0.3">
      <c r="A330" s="1" t="str">
        <f>"어린이도서관"</f>
        <v>어린이도서관</v>
      </c>
      <c r="B330" s="1" t="str">
        <f>"J833.8-히235ㅈ-18"</f>
        <v>J833.8-히235ㅈ-18</v>
      </c>
      <c r="C330" s="1" t="str">
        <f>"이상한 과자 가게 전천당. 18"</f>
        <v>이상한 과자 가게 전천당. 18</v>
      </c>
      <c r="D330" s="1" t="str">
        <f>"히로시마 레이코 지음;쟈쟈 그림;김정화 옮김"</f>
        <v>히로시마 레이코 지음;쟈쟈 그림;김정화 옮김</v>
      </c>
      <c r="E330" s="1" t="str">
        <f>"길벗스쿨"</f>
        <v>길벗스쿨</v>
      </c>
      <c r="F330" s="1" t="str">
        <f>"160 p.:삽화;19 cm"</f>
        <v>160 p.:삽화;19 cm</v>
      </c>
      <c r="G330" s="1"/>
    </row>
    <row r="331" spans="1:7" x14ac:dyDescent="0.3">
      <c r="A331" s="1" t="str">
        <f>"어린이도서관"</f>
        <v>어린이도서관</v>
      </c>
      <c r="B331" s="1" t="str">
        <f>"J813.8-흔91ㅅ-1"</f>
        <v>J813.8-흔91ㅅ-1</v>
      </c>
      <c r="C331" s="1" t="str">
        <f>"(흔한남매) 수수께끼 어드벤처. 1"</f>
        <v>(흔한남매) 수수께끼 어드벤처. 1</v>
      </c>
      <c r="D331" s="1" t="str">
        <f>"흔한남매 원작;노지영 글;도니패밀리 그림"</f>
        <v>흔한남매 원작;노지영 글;도니패밀리 그림</v>
      </c>
      <c r="E331" s="1" t="str">
        <f>"아이세움:미래엔"</f>
        <v>아이세움:미래엔</v>
      </c>
      <c r="F331" s="1" t="str">
        <f>"176 p.:전부천연색삽화(만화);23 cm"</f>
        <v>176 p.:전부천연색삽화(만화);23 cm</v>
      </c>
      <c r="G331" s="1"/>
    </row>
    <row r="332" spans="1:7" x14ac:dyDescent="0.3">
      <c r="A332" s="1" t="str">
        <f>"어린이도서관"</f>
        <v>어린이도서관</v>
      </c>
      <c r="B332" s="1" t="str">
        <f>"J833.8-무231ㅈ"</f>
        <v>J833.8-무231ㅈ</v>
      </c>
      <c r="C332" s="1" t="str">
        <f>"전기밥솥의 가을 운동회"</f>
        <v>전기밥솥의 가을 운동회</v>
      </c>
      <c r="D332" s="1" t="str">
        <f>"무라카미 시이코 글;하세가와 요시후미 그림;김숙 옮김"</f>
        <v>무라카미 시이코 글;하세가와 요시후미 그림;김숙 옮김</v>
      </c>
      <c r="E332" s="1" t="str">
        <f>"북뱅크"</f>
        <v>북뱅크</v>
      </c>
      <c r="F332" s="1" t="str">
        <f>"79 p.:천연색삽화;22 cm"</f>
        <v>79 p.:천연색삽화;22 cm</v>
      </c>
      <c r="G332" s="1"/>
    </row>
    <row r="333" spans="1:7" x14ac:dyDescent="0.3">
      <c r="A333" s="1" t="str">
        <f>"어린이도서관"</f>
        <v>어린이도서관</v>
      </c>
      <c r="B333" s="1" t="str">
        <f>"J031-풀49질-5"</f>
        <v>J031-풀49질-5</v>
      </c>
      <c r="C333" s="1" t="str">
        <f>"질문하는 정치 사전"</f>
        <v>질문하는 정치 사전</v>
      </c>
      <c r="D333" s="1" t="str">
        <f>"하승우 글;김윤정 그림"</f>
        <v>하승우 글;김윤정 그림</v>
      </c>
      <c r="E333" s="1" t="str">
        <f>"풀빛"</f>
        <v>풀빛</v>
      </c>
      <c r="F333" s="1" t="str">
        <f>"101 p.:천연색삽화;23 cm"</f>
        <v>101 p.:천연색삽화;23 cm</v>
      </c>
      <c r="G333" s="1"/>
    </row>
    <row r="334" spans="1:7" x14ac:dyDescent="0.3">
      <c r="A334" s="1" t="str">
        <f>"어린이도서관"</f>
        <v>어린이도서관</v>
      </c>
      <c r="B334" s="1" t="str">
        <f>"J031-풀49질-4"</f>
        <v>J031-풀49질-4</v>
      </c>
      <c r="C334" s="1" t="str">
        <f>"질문하는 인권 사전"</f>
        <v>질문하는 인권 사전</v>
      </c>
      <c r="D334" s="1" t="str">
        <f>"장덕현 글;간장 그림"</f>
        <v>장덕현 글;간장 그림</v>
      </c>
      <c r="E334" s="1" t="str">
        <f>"풀빛"</f>
        <v>풀빛</v>
      </c>
      <c r="F334" s="1" t="str">
        <f>"105 p.:천연색삽화;23 cm"</f>
        <v>105 p.:천연색삽화;23 cm</v>
      </c>
      <c r="G334" s="1"/>
    </row>
    <row r="335" spans="1:7" x14ac:dyDescent="0.3">
      <c r="A335" s="1" t="str">
        <f>"어린이도서관"</f>
        <v>어린이도서관</v>
      </c>
      <c r="B335" s="1" t="str">
        <f>"J031-풀49질-3"</f>
        <v>J031-풀49질-3</v>
      </c>
      <c r="C335" s="1" t="str">
        <f>"질문하는 법 사전"</f>
        <v>질문하는 법 사전</v>
      </c>
      <c r="D335" s="1" t="str">
        <f>"신주영 글;이진아 그림"</f>
        <v>신주영 글;이진아 그림</v>
      </c>
      <c r="E335" s="1" t="str">
        <f>"풀빛"</f>
        <v>풀빛</v>
      </c>
      <c r="F335" s="1" t="str">
        <f>"103p.:천연색삽화;23cm"</f>
        <v>103p.:천연색삽화;23cm</v>
      </c>
      <c r="G335" s="1"/>
    </row>
    <row r="336" spans="1:7" x14ac:dyDescent="0.3">
      <c r="A336" s="1" t="str">
        <f>"어린이도서관"</f>
        <v>어린이도서관</v>
      </c>
      <c r="B336" s="1" t="str">
        <f>"J031-풀49질-2"</f>
        <v>J031-풀49질-2</v>
      </c>
      <c r="C336" s="1" t="str">
        <f>"질문하는 경제 사전"</f>
        <v>질문하는 경제 사전</v>
      </c>
      <c r="D336" s="1" t="str">
        <f>"석혜원 글;정용환 그림"</f>
        <v>석혜원 글;정용환 그림</v>
      </c>
      <c r="E336" s="1" t="str">
        <f>"풀빛"</f>
        <v>풀빛</v>
      </c>
      <c r="F336" s="1" t="str">
        <f>"99 p.:천연색삽화;23 cm"</f>
        <v>99 p.:천연색삽화;23 cm</v>
      </c>
      <c r="G336" s="1"/>
    </row>
    <row r="337" spans="1:7" x14ac:dyDescent="0.3">
      <c r="A337" s="1" t="str">
        <f>"어린이도서관"</f>
        <v>어린이도서관</v>
      </c>
      <c r="B337" s="1" t="str">
        <f>"J031-풀49질-1"</f>
        <v>J031-풀49질-1</v>
      </c>
      <c r="C337" s="1" t="str">
        <f>"질문하는 환경 사전"</f>
        <v>질문하는 환경 사전</v>
      </c>
      <c r="D337" s="1" t="str">
        <f>"질 알레 글;자크 아장 그림;홍세화 옮김"</f>
        <v>질 알레 글;자크 아장 그림;홍세화 옮김</v>
      </c>
      <c r="E337" s="1" t="str">
        <f>"풀빛"</f>
        <v>풀빛</v>
      </c>
      <c r="F337" s="1" t="str">
        <f>"97 p.:천연색삽화;23 cm"</f>
        <v>97 p.:천연색삽화;23 cm</v>
      </c>
      <c r="G337" s="1"/>
    </row>
    <row r="338" spans="1:7" x14ac:dyDescent="0.3">
      <c r="A338" s="1" t="str">
        <f>"어린이도서관"</f>
        <v>어린이도서관</v>
      </c>
      <c r="B338" s="1" t="str">
        <f>"J823.7-대31ㅇ"</f>
        <v>J823.7-대31ㅇ</v>
      </c>
      <c r="C338" s="1" t="str">
        <f>"엄마, 달려요 [그림책]"</f>
        <v>엄마, 달려요 [그림책]</v>
      </c>
      <c r="D338" s="1" t="str">
        <f>"대만 산업재해피해자협회 글;천루이추 그림;김신우 옮김"</f>
        <v>대만 산업재해피해자협회 글;천루이추 그림;김신우 옮김</v>
      </c>
      <c r="E338" s="1" t="str">
        <f>"시금치"</f>
        <v>시금치</v>
      </c>
      <c r="F338" s="1" t="str">
        <f>"[36] p.:천연색삽화;31 cm"</f>
        <v>[36] p.:천연색삽화;31 cm</v>
      </c>
      <c r="G338" s="1"/>
    </row>
    <row r="339" spans="1:7" x14ac:dyDescent="0.3">
      <c r="A339" s="1" t="str">
        <f>"어린이도서관"</f>
        <v>어린이도서관</v>
      </c>
      <c r="B339" s="1" t="str">
        <f>"J308-비236사-4"</f>
        <v>J308-비236사-4</v>
      </c>
      <c r="C339" s="1" t="str">
        <f>"사회는 쉽다!. 4, 모두를 위한 사회 복지"</f>
        <v>사회는 쉽다!. 4, 모두를 위한 사회 복지</v>
      </c>
      <c r="D339" s="1" t="str">
        <f>"김서윤 글;정인하 그림"</f>
        <v>김서윤 글;정인하 그림</v>
      </c>
      <c r="E339" s="1" t="str">
        <f>"비룡소"</f>
        <v>비룡소</v>
      </c>
      <c r="F339" s="1" t="str">
        <f>"100 p.:천연색삽화;23 cm"</f>
        <v>100 p.:천연색삽화;23 cm</v>
      </c>
      <c r="G339" s="1"/>
    </row>
    <row r="340" spans="1:7" x14ac:dyDescent="0.3">
      <c r="A340" s="1" t="str">
        <f>"어린이도서관"</f>
        <v>어린이도서관</v>
      </c>
      <c r="B340" s="1" t="str">
        <f>"J308-비236사-5"</f>
        <v>J308-비236사-5</v>
      </c>
      <c r="C340" s="1" t="str">
        <f>"사회는 쉽다!. 5, 우리 명절과 음식 문화: 특별한 날에만 먹는 특별한 음식이 있었다고?"</f>
        <v>사회는 쉽다!. 5, 우리 명절과 음식 문화: 특별한 날에만 먹는 특별한 음식이 있었다고?</v>
      </c>
      <c r="D340" s="1" t="str">
        <f>"김은미 글;강영지 그림"</f>
        <v>김은미 글;강영지 그림</v>
      </c>
      <c r="E340" s="1" t="str">
        <f>"비룡소"</f>
        <v>비룡소</v>
      </c>
      <c r="F340" s="1" t="str">
        <f>"95 p.:삽화;23 cm"</f>
        <v>95 p.:삽화;23 cm</v>
      </c>
      <c r="G340" s="1"/>
    </row>
    <row r="341" spans="1:7" x14ac:dyDescent="0.3">
      <c r="A341" s="1" t="str">
        <f>"어린이도서관"</f>
        <v>어린이도서관</v>
      </c>
      <c r="B341" s="1" t="str">
        <f>"J308-비236사-6"</f>
        <v>J308-비236사-6</v>
      </c>
      <c r="C341" s="1" t="str">
        <f>"사회는 쉽다!. 6, 국토와 주권: 우리나라는 어디서부터 어디까지일까?"</f>
        <v>사회는 쉽다!. 6, 국토와 주권: 우리나라는 어디서부터 어디까지일까?</v>
      </c>
      <c r="D341" s="1" t="str">
        <f>"안현경 글;우지현 그림"</f>
        <v>안현경 글;우지현 그림</v>
      </c>
      <c r="E341" s="1" t="str">
        <f>"비룡소"</f>
        <v>비룡소</v>
      </c>
      <c r="F341" s="1" t="str">
        <f>"112 p.:삽화, 지도, 초상;23 cm"</f>
        <v>112 p.:삽화, 지도, 초상;23 cm</v>
      </c>
      <c r="G341" s="1"/>
    </row>
    <row r="342" spans="1:7" x14ac:dyDescent="0.3">
      <c r="A342" s="1" t="str">
        <f>"어린이도서관"</f>
        <v>어린이도서관</v>
      </c>
      <c r="B342" s="1" t="str">
        <f>"J308-비236사-7"</f>
        <v>J308-비236사-7</v>
      </c>
      <c r="C342" s="1" t="str">
        <f>"사회는 쉽다!. 7, 지방 자치: 마을이 상아야 나라가 산다고?"</f>
        <v>사회는 쉽다!. 7, 지방 자치: 마을이 상아야 나라가 산다고?</v>
      </c>
      <c r="D342" s="1" t="str">
        <f>"홍경의 글;원혜진 그림"</f>
        <v>홍경의 글;원혜진 그림</v>
      </c>
      <c r="E342" s="1" t="str">
        <f>"비룡소"</f>
        <v>비룡소</v>
      </c>
      <c r="F342" s="1" t="str">
        <f>"93 p.:삽화;23 cm"</f>
        <v>93 p.:삽화;23 cm</v>
      </c>
      <c r="G342" s="1"/>
    </row>
    <row r="343" spans="1:7" x14ac:dyDescent="0.3">
      <c r="A343" s="1" t="str">
        <f>"어린이도서관"</f>
        <v>어린이도서관</v>
      </c>
      <c r="B343" s="1" t="str">
        <f>"J308-비236사-8"</f>
        <v>J308-비236사-8</v>
      </c>
      <c r="C343" s="1" t="str">
        <f>"사회는 쉽다!. 8, 도시와 촌락: 왜 사람들은 도시로 모일까?"</f>
        <v>사회는 쉽다!. 8, 도시와 촌락: 왜 사람들은 도시로 모일까?</v>
      </c>
      <c r="D343" s="1" t="str">
        <f>"유다정 글;김령언 그림"</f>
        <v>유다정 글;김령언 그림</v>
      </c>
      <c r="E343" s="1" t="str">
        <f>"비룡소"</f>
        <v>비룡소</v>
      </c>
      <c r="F343" s="1" t="str">
        <f>"92 p.:삽화;24 cm"</f>
        <v>92 p.:삽화;24 cm</v>
      </c>
      <c r="G343" s="1"/>
    </row>
    <row r="344" spans="1:7" x14ac:dyDescent="0.3">
      <c r="A344" s="1" t="str">
        <f>"어린이도서관"</f>
        <v>어린이도서관</v>
      </c>
      <c r="B344" s="1" t="str">
        <f>"J308-비236사-9"</f>
        <v>J308-비236사-9</v>
      </c>
      <c r="C344" s="1" t="str">
        <f>"사회는 쉽다!. 9, 사람들은 어떻게 생각을 나눌까? : 의사소통 수단의 발달과 올바른 활용법"</f>
        <v>사회는 쉽다!. 9, 사람들은 어떻게 생각을 나눌까? : 의사소통 수단의 발달과 올바른 활용법</v>
      </c>
      <c r="D344" s="1" t="str">
        <f>"신혜진 글;하민석 그림"</f>
        <v>신혜진 글;하민석 그림</v>
      </c>
      <c r="E344" s="1" t="str">
        <f>"비룡소"</f>
        <v>비룡소</v>
      </c>
      <c r="F344" s="1" t="str">
        <f>"87 p.:삽화;23 cm"</f>
        <v>87 p.:삽화;23 cm</v>
      </c>
      <c r="G344" s="1"/>
    </row>
    <row r="345" spans="1:7" x14ac:dyDescent="0.3">
      <c r="A345" s="1" t="str">
        <f>"어린이도서관"</f>
        <v>어린이도서관</v>
      </c>
      <c r="B345" s="1" t="str">
        <f>"J308-비236사-10"</f>
        <v>J308-비236사-10</v>
      </c>
      <c r="C345" s="1" t="str">
        <f>"사회는 쉽다!. 10, 사회 공부는 왜 하는 걸까?: 사회를 배우는 진짜 이유"</f>
        <v>사회는 쉽다!. 10, 사회 공부는 왜 하는 걸까?: 사회를 배우는 진짜 이유</v>
      </c>
      <c r="D345" s="1" t="str">
        <f>"김서윤 글;우지현 그림"</f>
        <v>김서윤 글;우지현 그림</v>
      </c>
      <c r="E345" s="1" t="str">
        <f>"비룡소"</f>
        <v>비룡소</v>
      </c>
      <c r="F345" s="1" t="str">
        <f>"98 p.:천연색삽화;23 cm"</f>
        <v>98 p.:천연색삽화;23 cm</v>
      </c>
      <c r="G345" s="1"/>
    </row>
    <row r="346" spans="1:7" x14ac:dyDescent="0.3">
      <c r="A346" s="1" t="str">
        <f>"어린이도서관"</f>
        <v>어린이도서관</v>
      </c>
      <c r="B346" s="1" t="str">
        <f>"J308-비236사-11"</f>
        <v>J308-비236사-11</v>
      </c>
      <c r="C346" s="1" t="str">
        <f>"사회는 쉽다. 11, 성 역할과 성 평등 : 여자와 남자, 뭐가 다를까?"</f>
        <v>사회는 쉽다. 11, 성 역할과 성 평등 : 여자와 남자, 뭐가 다를까?</v>
      </c>
      <c r="D346" s="1" t="str">
        <f>"신혜진 글;홍지혜 그림"</f>
        <v>신혜진 글;홍지혜 그림</v>
      </c>
      <c r="E346" s="1" t="str">
        <f>"비룡소"</f>
        <v>비룡소</v>
      </c>
      <c r="F346" s="1" t="str">
        <f>"100 p.:천연색삽화;23 cm"</f>
        <v>100 p.:천연색삽화;23 cm</v>
      </c>
      <c r="G346" s="1"/>
    </row>
    <row r="347" spans="1:7" x14ac:dyDescent="0.3">
      <c r="A347" s="1" t="str">
        <f>"어린이도서관"</f>
        <v>어린이도서관</v>
      </c>
      <c r="B347" s="1" t="str">
        <f>"J308-비236사-12"</f>
        <v>J308-비236사-12</v>
      </c>
      <c r="C347" s="1" t="str">
        <f>"사회는 쉽다!. 12, 사회를 움직이는 노동"</f>
        <v>사회는 쉽다!. 12, 사회를 움직이는 노동</v>
      </c>
      <c r="D347" s="1" t="str">
        <f>"김서윤 글;이주희 그림"</f>
        <v>김서윤 글;이주희 그림</v>
      </c>
      <c r="E347" s="1" t="str">
        <f>"비룡소"</f>
        <v>비룡소</v>
      </c>
      <c r="F347" s="1" t="str">
        <f>"82 p.:천연색삽화;23 cm"</f>
        <v>82 p.:천연색삽화;23 cm</v>
      </c>
      <c r="G347" s="1"/>
    </row>
    <row r="348" spans="1:7" x14ac:dyDescent="0.3">
      <c r="A348" s="1" t="str">
        <f>"어린이도서관"</f>
        <v>어린이도서관</v>
      </c>
      <c r="B348" s="1" t="str">
        <f>"J308-비236사-13"</f>
        <v>J308-비236사-13</v>
      </c>
      <c r="C348" s="1" t="str">
        <f>"사회는 쉽다!. 13, 법과 우리 생활 : 법이 우리를 지켜 준다고?"</f>
        <v>사회는 쉽다!. 13, 법과 우리 생활 : 법이 우리를 지켜 준다고?</v>
      </c>
      <c r="D348" s="1" t="str">
        <f>"홍경의 글;임광희 그림"</f>
        <v>홍경의 글;임광희 그림</v>
      </c>
      <c r="E348" s="1" t="str">
        <f>"비룡소"</f>
        <v>비룡소</v>
      </c>
      <c r="F348" s="1" t="str">
        <f>"100 p.:천연색삽화;23 cm"</f>
        <v>100 p.:천연색삽화;23 cm</v>
      </c>
      <c r="G348" s="1"/>
    </row>
    <row r="349" spans="1:7" x14ac:dyDescent="0.3">
      <c r="A349" s="1" t="str">
        <f>"어린이도서관"</f>
        <v>어린이도서관</v>
      </c>
      <c r="B349" s="1" t="str">
        <f>"J321.55-손64ㅇ"</f>
        <v>J321.55-손64ㅇ</v>
      </c>
      <c r="C349" s="1" t="str">
        <f>"웹툰작가는 어때?"</f>
        <v>웹툰작가는 어때?</v>
      </c>
      <c r="D349" s="1" t="str">
        <f>"손영완 지음"</f>
        <v>손영완 지음</v>
      </c>
      <c r="E349" s="1" t="str">
        <f>"Talk Show(토크쇼)"</f>
        <v>Talk Show(토크쇼)</v>
      </c>
      <c r="F349" s="1" t="str">
        <f>"131 p.:천연색삽화;23 cm"</f>
        <v>131 p.:천연색삽화;23 cm</v>
      </c>
      <c r="G349" s="1"/>
    </row>
    <row r="350" spans="1:7" x14ac:dyDescent="0.3">
      <c r="A350" s="1" t="str">
        <f>"어린이도서관"</f>
        <v>어린이도서관</v>
      </c>
      <c r="B350" s="1" t="str">
        <f>"J321.55-한55이-1"</f>
        <v>J321.55-한55이-1</v>
      </c>
      <c r="C350" s="1" t="str">
        <f>"동물이 좋다면 이런 직업!"</f>
        <v>동물이 좋다면 이런 직업!</v>
      </c>
      <c r="D350" s="1" t="str">
        <f>"스티브 마틴 글;로베르토 블레파리 그림;김여진 옮김"</f>
        <v>스티브 마틴 글;로베르토 블레파리 그림;김여진 옮김</v>
      </c>
      <c r="E350" s="1" t="str">
        <f>"한솔수북"</f>
        <v>한솔수북</v>
      </c>
      <c r="F350" s="1" t="str">
        <f>"47 p.:천연색삽화;26 cm"</f>
        <v>47 p.:천연색삽화;26 cm</v>
      </c>
      <c r="G350" s="1"/>
    </row>
    <row r="351" spans="1:7" x14ac:dyDescent="0.3">
      <c r="A351" s="1" t="str">
        <f>"어린이도서관"</f>
        <v>어린이도서관</v>
      </c>
      <c r="B351" s="1" t="str">
        <f>"J321.55-한55이-2"</f>
        <v>J321.55-한55이-2</v>
      </c>
      <c r="C351" s="1" t="str">
        <f>"스포츠가 좋다면 이런 직업!"</f>
        <v>스포츠가 좋다면 이런 직업!</v>
      </c>
      <c r="D351" s="1" t="str">
        <f>"스티브 마틴 글;톰 울리 그림;강젬마 옮김"</f>
        <v>스티브 마틴 글;톰 울리 그림;강젬마 옮김</v>
      </c>
      <c r="E351" s="1" t="str">
        <f>"한솔수북"</f>
        <v>한솔수북</v>
      </c>
      <c r="F351" s="1" t="str">
        <f>"47 p.:천연색삽화;27 cm"</f>
        <v>47 p.:천연색삽화;27 cm</v>
      </c>
      <c r="G351" s="1"/>
    </row>
    <row r="352" spans="1:7" x14ac:dyDescent="0.3">
      <c r="A352" s="1" t="str">
        <f>"어린이도서관"</f>
        <v>어린이도서관</v>
      </c>
      <c r="B352" s="1" t="str">
        <f>"J321.55-한55이-3"</f>
        <v>J321.55-한55이-3</v>
      </c>
      <c r="C352" s="1" t="str">
        <f>"우주가 좋다면 이런 직업!"</f>
        <v>우주가 좋다면 이런 직업!</v>
      </c>
      <c r="D352" s="1" t="str">
        <f>"스티브 마틴 글;톰 울리 그림;이광식 옮김"</f>
        <v>스티브 마틴 글;톰 울리 그림;이광식 옮김</v>
      </c>
      <c r="E352" s="1" t="str">
        <f>"한솔수북"</f>
        <v>한솔수북</v>
      </c>
      <c r="F352" s="1" t="str">
        <f>"47 p.:천연색삽화;27 cm"</f>
        <v>47 p.:천연색삽화;27 cm</v>
      </c>
      <c r="G352" s="1"/>
    </row>
    <row r="353" spans="1:7" x14ac:dyDescent="0.3">
      <c r="A353" s="1" t="str">
        <f>"어린이도서관"</f>
        <v>어린이도서관</v>
      </c>
      <c r="B353" s="1" t="str">
        <f>"J321.55-한55이-4"</f>
        <v>J321.55-한55이-4</v>
      </c>
      <c r="C353" s="1" t="str">
        <f>"야외 활동이 좋다면 이런 직업!"</f>
        <v>야외 활동이 좋다면 이런 직업!</v>
      </c>
      <c r="D353" s="1" t="str">
        <f>"캐런 브라운 지음;로베르토 블레파리 그림;엄혜숙 옮김"</f>
        <v>캐런 브라운 지음;로베르토 블레파리 그림;엄혜숙 옮김</v>
      </c>
      <c r="E353" s="1" t="str">
        <f>"한솔수북"</f>
        <v>한솔수북</v>
      </c>
      <c r="F353" s="1" t="str">
        <f>"56 p.:천연색삽화;27 cm"</f>
        <v>56 p.:천연색삽화;27 cm</v>
      </c>
      <c r="G353" s="1"/>
    </row>
    <row r="354" spans="1:7" x14ac:dyDescent="0.3">
      <c r="A354" s="1" t="str">
        <f>"이동도서관"</f>
        <v>이동도서관</v>
      </c>
      <c r="B354" s="1" t="str">
        <f>"MJ 813.8-임735내=2"</f>
        <v>MJ 813.8-임735내=2</v>
      </c>
      <c r="C354" s="1" t="str">
        <f>"내 편이 필요해!"</f>
        <v>내 편이 필요해!</v>
      </c>
      <c r="D354" s="1" t="str">
        <f>"임정자 글;이선민 그림"</f>
        <v>임정자 글;이선민 그림</v>
      </c>
      <c r="E354" s="1" t="str">
        <f>"Mirae N 아이세움 :미래엔"</f>
        <v>Mirae N 아이세움 :미래엔</v>
      </c>
      <c r="F354" s="1" t="str">
        <f>"99 p.:천연색삽화;22 cm"</f>
        <v>99 p.:천연색삽화;22 cm</v>
      </c>
      <c r="G354" s="1"/>
    </row>
    <row r="355" spans="1:7" x14ac:dyDescent="0.3">
      <c r="A355" s="1" t="str">
        <f>"이동도서관"</f>
        <v>이동도서관</v>
      </c>
      <c r="B355" s="1" t="str">
        <f>"MJ 811.8-임73ㄷ=2"</f>
        <v>MJ 811.8-임73ㄷ=2</v>
      </c>
      <c r="C355" s="1" t="str">
        <f>"다시는 마당을 밟지 않으리  : 생육신 원호 그림책"</f>
        <v>다시는 마당을 밟지 않으리  : 생육신 원호 그림책</v>
      </c>
      <c r="D355" s="1" t="str">
        <f>"임정자 글;홍선주 그림"</f>
        <v>임정자 글;홍선주 그림</v>
      </c>
      <c r="E355" s="1" t="str">
        <f>"그림책도시"</f>
        <v>그림책도시</v>
      </c>
      <c r="F355" s="1" t="str">
        <f>"[33] p.:천연색삽화;29 cm"</f>
        <v>[33] p.:천연색삽화;29 cm</v>
      </c>
      <c r="G355" s="1"/>
    </row>
    <row r="356" spans="1:7" x14ac:dyDescent="0.3">
      <c r="A356" s="1" t="str">
        <f>"이동도서관"</f>
        <v>이동도서관</v>
      </c>
      <c r="B356" s="1" t="str">
        <f>"MJ 388.311-임73ㄴ=2"</f>
        <v>MJ 388.311-임73ㄴ=2</v>
      </c>
      <c r="C356" s="1" t="str">
        <f>"농사와 사랑의 여신 자청비"</f>
        <v>농사와 사랑의 여신 자청비</v>
      </c>
      <c r="D356" s="1" t="str">
        <f>"임정자 지음;최현묵 그림"</f>
        <v>임정자 지음;최현묵 그림</v>
      </c>
      <c r="E356" s="1" t="str">
        <f>"한겨레아이들"</f>
        <v>한겨레아이들</v>
      </c>
      <c r="F356" s="1" t="str">
        <f>"106 p.:삽화;25 cm"</f>
        <v>106 p.:삽화;25 cm</v>
      </c>
      <c r="G356" s="1"/>
    </row>
    <row r="357" spans="1:7" x14ac:dyDescent="0.3">
      <c r="A357" s="1" t="str">
        <f>"이동도서관"</f>
        <v>이동도서관</v>
      </c>
      <c r="B357" s="1" t="str">
        <f>"MJ 813.8-김655아=2"</f>
        <v>MJ 813.8-김655아=2</v>
      </c>
      <c r="C357" s="1" t="str">
        <f>"아빠, 냉이꽃 예쁘지요"</f>
        <v>아빠, 냉이꽃 예쁘지요</v>
      </c>
      <c r="D357" s="1" t="str">
        <f>"김옥애 글;윤지경 그림"</f>
        <v>김옥애 글;윤지경 그림</v>
      </c>
      <c r="E357" s="1" t="str">
        <f>"좋은꿈"</f>
        <v>좋은꿈</v>
      </c>
      <c r="F357" s="1" t="str">
        <f>"115 p.:천연색삽화;21 cm"</f>
        <v>115 p.:천연색삽화;21 cm</v>
      </c>
      <c r="G357" s="1"/>
    </row>
    <row r="358" spans="1:7" x14ac:dyDescent="0.3">
      <c r="A358" s="1" t="str">
        <f>"이동도서관"</f>
        <v>이동도서관</v>
      </c>
      <c r="B358" s="1" t="str">
        <f>"MJ 811.8-김651ㅅ=2"</f>
        <v>MJ 811.8-김651ㅅ=2</v>
      </c>
      <c r="C358" s="1" t="str">
        <f>"숨어 있는 것들  : 김옥애 동시집"</f>
        <v>숨어 있는 것들  : 김옥애 동시집</v>
      </c>
      <c r="D358" s="1" t="str">
        <f>"김옥애 지음;이채원 일러스트"</f>
        <v>김옥애 지음;이채원 일러스트</v>
      </c>
      <c r="E358" s="1" t="str">
        <f>"청개구리"</f>
        <v>청개구리</v>
      </c>
      <c r="F358" s="1" t="str">
        <f>"106 p.:천연색삽화;21 cm"</f>
        <v>106 p.:천연색삽화;21 cm</v>
      </c>
      <c r="G358" s="1"/>
    </row>
    <row r="359" spans="1:7" x14ac:dyDescent="0.3">
      <c r="A359" s="1" t="str">
        <f>"이동도서관"</f>
        <v>이동도서관</v>
      </c>
      <c r="B359" s="1" t="str">
        <f>"MJ 813.8-김655경=2"</f>
        <v>MJ 813.8-김655경=2</v>
      </c>
      <c r="C359" s="1" t="str">
        <f>"경무대로 간 해수  = Haesu went to Gyeong Mu Dea  : 김옥애 장편동화"</f>
        <v>경무대로 간 해수  = Haesu went to Gyeong Mu Dea  : 김옥애 장편동화</v>
      </c>
      <c r="D359" s="1" t="str">
        <f>"김옥애 지음;강화경 일러스트"</f>
        <v>김옥애 지음;강화경 일러스트</v>
      </c>
      <c r="E359" s="1" t="str">
        <f>"청개구리"</f>
        <v>청개구리</v>
      </c>
      <c r="F359" s="1" t="str">
        <f>"159 p.:천연색삽화;23 cm"</f>
        <v>159 p.:천연색삽화;23 cm</v>
      </c>
      <c r="G359" s="1"/>
    </row>
    <row r="360" spans="1:7" x14ac:dyDescent="0.3">
      <c r="A360" s="1" t="str">
        <f>"이동도서관"</f>
        <v>이동도서관</v>
      </c>
      <c r="B360" s="1" t="str">
        <f>"MJ 388.311-김92ㄷ=2"</f>
        <v>MJ 388.311-김92ㄷ=2</v>
      </c>
      <c r="C360" s="1" t="str">
        <f>"도둑은 바로 너야!  : 아니 땐 굴뚝에 연기 날까?"</f>
        <v>도둑은 바로 너야!  : 아니 땐 굴뚝에 연기 날까?</v>
      </c>
      <c r="D360" s="1" t="str">
        <f>"김해등 지음;이가혜 그림"</f>
        <v>김해등 지음;이가혜 그림</v>
      </c>
      <c r="E360" s="1" t="str">
        <f>"키큰도토리"</f>
        <v>키큰도토리</v>
      </c>
      <c r="F360" s="1" t="str">
        <f>"[32] p.:천연색삽화;28 cm"</f>
        <v>[32] p.:천연색삽화;28 cm</v>
      </c>
      <c r="G360" s="1"/>
    </row>
    <row r="361" spans="1:7" x14ac:dyDescent="0.3">
      <c r="A361" s="1" t="str">
        <f>"이동도서관"</f>
        <v>이동도서관</v>
      </c>
      <c r="B361" s="1" t="str">
        <f>"MJ 911-김92ㄱ=2"</f>
        <v>MJ 911-김92ㄱ=2</v>
      </c>
      <c r="C361" s="1" t="str">
        <f>"(천년의 학을 품은) 고려청자 : 고려청자가 들려주는 고려 시대 문화 이야기"</f>
        <v>(천년의 학을 품은) 고려청자 : 고려청자가 들려주는 고려 시대 문화 이야기</v>
      </c>
      <c r="D361" s="1" t="str">
        <f>"김해등 글;정인성,천복주 그림"</f>
        <v>김해등 글;정인성,천복주 그림</v>
      </c>
      <c r="E361" s="1" t="str">
        <f>"개암나무"</f>
        <v>개암나무</v>
      </c>
      <c r="F361" s="1" t="str">
        <f>"76 p.:천연색삽화;26 cm"</f>
        <v>76 p.:천연색삽화;26 cm</v>
      </c>
      <c r="G361" s="1"/>
    </row>
    <row r="362" spans="1:7" x14ac:dyDescent="0.3">
      <c r="A362" s="1" t="str">
        <f>"이동도서관"</f>
        <v>이동도서관</v>
      </c>
      <c r="B362" s="1" t="str">
        <f>"MJ 998.4-이97김=2"</f>
        <v>MJ 998.4-이97김=2</v>
      </c>
      <c r="C362" s="1" t="str">
        <f>"위대한 과학자의 방  : 천재 물리학자 이휘소를 만나다"</f>
        <v>위대한 과학자의 방  : 천재 물리학자 이휘소를 만나다</v>
      </c>
      <c r="D362" s="1" t="str">
        <f>"김해등 글;윤유리 그림"</f>
        <v>김해등 글;윤유리 그림</v>
      </c>
      <c r="E362" s="1" t="str">
        <f>"뜨인돌어린이 :뜨인돌출판"</f>
        <v>뜨인돌어린이 :뜨인돌출판</v>
      </c>
      <c r="F362" s="1" t="str">
        <f>"117 p.:천연색삽화;24 cm"</f>
        <v>117 p.:천연색삽화;24 cm</v>
      </c>
      <c r="G362" s="1"/>
    </row>
    <row r="363" spans="1:7" x14ac:dyDescent="0.3">
      <c r="A363" s="1" t="str">
        <f>"이동도서관"</f>
        <v>이동도서관</v>
      </c>
      <c r="B363" s="1" t="str">
        <f>"MJ 813.8-김925ㅅ=2"</f>
        <v>MJ 813.8-김925ㅅ=2</v>
      </c>
      <c r="C363" s="1" t="str">
        <f>"소금꽃이 피었습니다"</f>
        <v>소금꽃이 피었습니다</v>
      </c>
      <c r="D363" s="1" t="str">
        <f>"김해등 글;이준선 그림"</f>
        <v>김해등 글;이준선 그림</v>
      </c>
      <c r="E363" s="1" t="str">
        <f>"스푼북"</f>
        <v>스푼북</v>
      </c>
      <c r="F363" s="1" t="str">
        <f>"175 p.:천연색삽화;22 cm"</f>
        <v>175 p.:천연색삽화;22 cm</v>
      </c>
      <c r="G363" s="1"/>
    </row>
    <row r="364" spans="1:7" x14ac:dyDescent="0.3">
      <c r="A364" s="1" t="str">
        <f>"이동도서관"</f>
        <v>이동도서관</v>
      </c>
      <c r="B364" s="1" t="str">
        <f>"M747.5-김72ㅇ=2"</f>
        <v>M747.5-김72ㅇ=2</v>
      </c>
      <c r="C364" s="1" t="str">
        <f>"(김재우의) 영어회화 100  : 원어민처럼 말하는 진짜 영어회화"</f>
        <v>(김재우의) 영어회화 100  : 원어민처럼 말하는 진짜 영어회화</v>
      </c>
      <c r="D364" s="1" t="str">
        <f>"김재우 지음"</f>
        <v>김재우 지음</v>
      </c>
      <c r="E364" s="1" t="str">
        <f>"상상스퀘어"</f>
        <v>상상스퀘어</v>
      </c>
      <c r="F364" s="1" t="str">
        <f>"339 p.;21 cm"</f>
        <v>339 p.;21 cm</v>
      </c>
      <c r="G364" s="1"/>
    </row>
    <row r="365" spans="1:7" x14ac:dyDescent="0.3">
      <c r="A365" s="1" t="str">
        <f>"이동도서관"</f>
        <v>이동도서관</v>
      </c>
      <c r="B365" s="1" t="str">
        <f>"M598.132-최39ㅊ=2"</f>
        <v>M598.132-최39ㅊ=2</v>
      </c>
      <c r="C365" s="1" t="str">
        <f>"최민준의 아들코칭 백과  : 기질 파악부터 말공부, 사회성, 감정코칭까지"</f>
        <v>최민준의 아들코칭 백과  : 기질 파악부터 말공부, 사회성, 감정코칭까지</v>
      </c>
      <c r="D365" s="1" t="str">
        <f>"최민준 글;신예원 그림"</f>
        <v>최민준 글;신예원 그림</v>
      </c>
      <c r="E365" s="1" t="str">
        <f>"위즈덤하우스"</f>
        <v>위즈덤하우스</v>
      </c>
      <c r="F365" s="1" t="str">
        <f>"373 p.:천연색삽화;21 cm"</f>
        <v>373 p.:천연색삽화;21 cm</v>
      </c>
      <c r="G365" s="1"/>
    </row>
    <row r="366" spans="1:7" x14ac:dyDescent="0.3">
      <c r="A366" s="1" t="str">
        <f>"이동도서관"</f>
        <v>이동도서관</v>
      </c>
      <c r="B366" s="1" t="str">
        <f>"M517.5-조58ㅇ=2"</f>
        <v>M517.5-조58ㅇ=2</v>
      </c>
      <c r="C366" s="1" t="str">
        <f>"완전 배출 : 채소·과일·무첨가 주스는 어떻게 비만과 질병을 몰아내는가"</f>
        <v>완전 배출 : 채소·과일·무첨가 주스는 어떻게 비만과 질병을 몰아내는가</v>
      </c>
      <c r="D366" s="1" t="str">
        <f>"조승우 지음"</f>
        <v>조승우 지음</v>
      </c>
      <c r="E366" s="1" t="str">
        <f>"사이몬북스"</f>
        <v>사이몬북스</v>
      </c>
      <c r="F366" s="1" t="str">
        <f>"304 p.;21 cm"</f>
        <v>304 p.;21 cm</v>
      </c>
      <c r="G366" s="1"/>
    </row>
    <row r="367" spans="1:7" x14ac:dyDescent="0.3">
      <c r="A367" s="1" t="str">
        <f>"이동도서관"</f>
        <v>이동도서관</v>
      </c>
      <c r="B367" s="1" t="str">
        <f>"M189-웨43ㅂ=2"</f>
        <v>M189-웨43ㅂ=2</v>
      </c>
      <c r="C367" s="1" t="str">
        <f>"브레인포그 : 내 삶의 몰입과 집중을 되찾는 10가지 방법"</f>
        <v>브레인포그 : 내 삶의 몰입과 집중을 되찾는 10가지 방법</v>
      </c>
      <c r="D367" s="1" t="str">
        <f>"질 P. 웨버 지음;진정성 옮김"</f>
        <v>질 P. 웨버 지음;진정성 옮김</v>
      </c>
      <c r="E367" s="1" t="str">
        <f>"한국경제신문"</f>
        <v>한국경제신문</v>
      </c>
      <c r="F367" s="1" t="str">
        <f>"284 p.;20 cm"</f>
        <v>284 p.;20 cm</v>
      </c>
      <c r="G367" s="1"/>
    </row>
    <row r="368" spans="1:7" x14ac:dyDescent="0.3">
      <c r="A368" s="1" t="str">
        <f>"이동도서관"</f>
        <v>이동도서관</v>
      </c>
      <c r="B368" s="1" t="str">
        <f>"M513.899-김94ㄸ=2"</f>
        <v>M513.899-김94ㄸ=2</v>
      </c>
      <c r="C368" s="1" t="str">
        <f>"딸이 조용히 무너져 있었다"</f>
        <v>딸이 조용히 무너져 있었다</v>
      </c>
      <c r="D368" s="1" t="str">
        <f>"김현아 지음"</f>
        <v>김현아 지음</v>
      </c>
      <c r="E368" s="1" t="str">
        <f>"창비"</f>
        <v>창비</v>
      </c>
      <c r="F368" s="1" t="str">
        <f>"304 p.:삽화, 도표;20 cm"</f>
        <v>304 p.:삽화, 도표;20 cm</v>
      </c>
      <c r="G368" s="1"/>
    </row>
    <row r="369" spans="1:7" x14ac:dyDescent="0.3">
      <c r="A369" s="1" t="str">
        <f>"이동도서관"</f>
        <v>이동도서관</v>
      </c>
      <c r="B369" s="1" t="str">
        <f>"M813.6-임55나=2"</f>
        <v>M813.6-임55나=2</v>
      </c>
      <c r="C369" s="1" t="str">
        <f>"나는 지금도 거기 있어 : 임솔아 장편소설"</f>
        <v>나는 지금도 거기 있어 : 임솔아 장편소설</v>
      </c>
      <c r="D369" s="1" t="str">
        <f>"임솔아 지음"</f>
        <v>임솔아 지음</v>
      </c>
      <c r="E369" s="1" t="str">
        <f>"문학동네"</f>
        <v>문학동네</v>
      </c>
      <c r="F369" s="1" t="str">
        <f>"328 p.:삽화;20 cm"</f>
        <v>328 p.:삽화;20 cm</v>
      </c>
      <c r="G369" s="1"/>
    </row>
    <row r="370" spans="1:7" x14ac:dyDescent="0.3">
      <c r="A370" s="1" t="str">
        <f>"이동도서관"</f>
        <v>이동도서관</v>
      </c>
      <c r="B370" s="1" t="str">
        <f>"M802.5-한53ㅎ=2"</f>
        <v>M802.5-한53ㅎ=2</v>
      </c>
      <c r="C370" s="1" t="str">
        <f>"한석준의 말하기 수업  : 말하기에 자신이 생기면 인생이 바뀝니다!"</f>
        <v>한석준의 말하기 수업  : 말하기에 자신이 생기면 인생이 바뀝니다!</v>
      </c>
      <c r="D370" s="1" t="str">
        <f>"한석준 지음"</f>
        <v>한석준 지음</v>
      </c>
      <c r="E370" s="1" t="str">
        <f>"인플루엔셜"</f>
        <v>인플루엔셜</v>
      </c>
      <c r="F370" s="1" t="str">
        <f>"255 p.:삽화;21 cm"</f>
        <v>255 p.:삽화;21 cm</v>
      </c>
      <c r="G370" s="1"/>
    </row>
    <row r="371" spans="1:7" x14ac:dyDescent="0.3">
      <c r="A371" s="1" t="str">
        <f>"이동도서관"</f>
        <v>이동도서관</v>
      </c>
      <c r="B371" s="1" t="str">
        <f>"M476.10733-무63ㄱ=2"</f>
        <v>M476.10733-무63ㄱ=2</v>
      </c>
      <c r="C371" s="1" t="str">
        <f>"경험은 어떻게 유전자에 새겨지는가  : 환경과 맥락에 따라 달라지는 유전체에 관한 행동 후성유전학의 놀라운 발견"</f>
        <v>경험은 어떻게 유전자에 새겨지는가  : 환경과 맥락에 따라 달라지는 유전체에 관한 행동 후성유전학의 놀라운 발견</v>
      </c>
      <c r="D371" s="1" t="str">
        <f>"데이비드 무어 지음;정지인 옮김"</f>
        <v>데이비드 무어 지음;정지인 옮김</v>
      </c>
      <c r="E371" s="1" t="str">
        <f>"아몬드"</f>
        <v>아몬드</v>
      </c>
      <c r="F371" s="1" t="str">
        <f>"539 p.:삽화, 도표;21 cm"</f>
        <v>539 p.:삽화, 도표;21 cm</v>
      </c>
      <c r="G371" s="1"/>
    </row>
    <row r="372" spans="1:7" x14ac:dyDescent="0.3">
      <c r="A372" s="1" t="str">
        <f>"이동도서관"</f>
        <v>이동도서관</v>
      </c>
      <c r="B372" s="1" t="str">
        <f>"M818-정79ㅁ=4"</f>
        <v>M818-정79ㅁ=4</v>
      </c>
      <c r="C372" s="1" t="str">
        <f>"마시지 않을 수 없는 밤이니까요 : 정지아 에세이"</f>
        <v>마시지 않을 수 없는 밤이니까요 : 정지아 에세이</v>
      </c>
      <c r="D372" s="1" t="str">
        <f>"정지아 지음"</f>
        <v>정지아 지음</v>
      </c>
      <c r="E372" s="1" t="str">
        <f>"마이디어북스"</f>
        <v>마이디어북스</v>
      </c>
      <c r="F372" s="1" t="str">
        <f>"320 p.:삽화;19 cm"</f>
        <v>320 p.:삽화;19 cm</v>
      </c>
      <c r="G372" s="1"/>
    </row>
    <row r="373" spans="1:7" x14ac:dyDescent="0.3">
      <c r="A373" s="1" t="str">
        <f>"이동도서관"</f>
        <v>이동도서관</v>
      </c>
      <c r="B373" s="1" t="str">
        <f>"M813.6-최6821아=2"</f>
        <v>M813.6-최6821아=2</v>
      </c>
      <c r="C373" s="1" t="str">
        <f>"아주 희미한 빛으로도  : 최은영 소설"</f>
        <v>아주 희미한 빛으로도  : 최은영 소설</v>
      </c>
      <c r="D373" s="1" t="str">
        <f>"최은영 지음"</f>
        <v>최은영 지음</v>
      </c>
      <c r="E373" s="1" t="str">
        <f>"문학동네"</f>
        <v>문학동네</v>
      </c>
      <c r="F373" s="1" t="str">
        <f>"349 p.;21 cm"</f>
        <v>349 p.;21 cm</v>
      </c>
      <c r="G373" s="1"/>
    </row>
    <row r="374" spans="1:7" x14ac:dyDescent="0.3">
      <c r="A374" s="1" t="str">
        <f>"이동도서관"</f>
        <v>이동도서관</v>
      </c>
      <c r="B374" s="1" t="str">
        <f>"M863-에2385ㅂ=2"</f>
        <v>M863-에2385ㅂ=2</v>
      </c>
      <c r="C374" s="1" t="str">
        <f>"바깥 일기"</f>
        <v>바깥 일기</v>
      </c>
      <c r="D374" s="1" t="str">
        <f>"아니 에르노 지음;정혜용 옮김"</f>
        <v>아니 에르노 지음;정혜용 옮김</v>
      </c>
      <c r="E374" s="1" t="str">
        <f>"열린책들"</f>
        <v>열린책들</v>
      </c>
      <c r="F374" s="1" t="str">
        <f>"130 p.;20 cm"</f>
        <v>130 p.;20 cm</v>
      </c>
      <c r="G374" s="1"/>
    </row>
    <row r="375" spans="1:7" x14ac:dyDescent="0.3">
      <c r="A375" s="1" t="str">
        <f>"이동도서관"</f>
        <v>이동도서관</v>
      </c>
      <c r="B375" s="1" t="str">
        <f>"M321.5-뇌238ㄱ=4"</f>
        <v>M321.5-뇌238ㄱ=4</v>
      </c>
      <c r="C375" s="1" t="str">
        <f>"가짜 노동  : 스스로 만드는 번아웃의 세계"</f>
        <v>가짜 노동  : 스스로 만드는 번아웃의 세계</v>
      </c>
      <c r="D375" s="1" t="str">
        <f>"데니스 뇌르마르크,아네르스 포그 옌센 [공]지음;이수영 옮김"</f>
        <v>데니스 뇌르마르크,아네르스 포그 옌센 [공]지음;이수영 옮김</v>
      </c>
      <c r="E375" s="1" t="str">
        <f>"자음과모음"</f>
        <v>자음과모음</v>
      </c>
      <c r="F375" s="1" t="str">
        <f>"411 p.:도표;22 cm"</f>
        <v>411 p.:도표;22 cm</v>
      </c>
      <c r="G375" s="1"/>
    </row>
    <row r="376" spans="1:7" x14ac:dyDescent="0.3">
      <c r="A376" s="1" t="str">
        <f>"이동도서관"</f>
        <v>이동도서관</v>
      </c>
      <c r="B376" s="1" t="str">
        <f>"M470.1-윤822ㅈ=2"</f>
        <v>M470.1-윤822ㅈ=2</v>
      </c>
      <c r="C376" s="1" t="str">
        <f>"자연에 이름 붙이기 : 보이지 않던 세계가 보이기 시작할 때"</f>
        <v>자연에 이름 붙이기 : 보이지 않던 세계가 보이기 시작할 때</v>
      </c>
      <c r="D376" s="1" t="str">
        <f>"캐럴 계숙 윤 지음;정지인 옮김"</f>
        <v>캐럴 계숙 윤 지음;정지인 옮김</v>
      </c>
      <c r="E376" s="1" t="str">
        <f>"윌북"</f>
        <v>윌북</v>
      </c>
      <c r="F376" s="1" t="str">
        <f>"440 p.;22 cm"</f>
        <v>440 p.;22 cm</v>
      </c>
      <c r="G376" s="1"/>
    </row>
    <row r="377" spans="1:7" x14ac:dyDescent="0.3">
      <c r="A377" s="1" t="str">
        <f>"이동도서관"</f>
        <v>이동도서관</v>
      </c>
      <c r="B377" s="1" t="str">
        <f>"M813.6-최67215ㄷ=2"</f>
        <v>M813.6-최67215ㄷ=2</v>
      </c>
      <c r="C377" s="1" t="str">
        <f>"달의 아이  : 최윤석 장편소설"</f>
        <v>달의 아이  : 최윤석 장편소설</v>
      </c>
      <c r="D377" s="1" t="str">
        <f>"최윤석 지음"</f>
        <v>최윤석 지음</v>
      </c>
      <c r="E377" s="1" t="str">
        <f>"포레스트북스 :콘텐츠그룹 포레스트"</f>
        <v>포레스트북스 :콘텐츠그룹 포레스트</v>
      </c>
      <c r="F377" s="1" t="str">
        <f>"407 p.;19 cm"</f>
        <v>407 p.;19 cm</v>
      </c>
      <c r="G377" s="1"/>
    </row>
    <row r="378" spans="1:7" x14ac:dyDescent="0.3">
      <c r="A378" s="1" t="str">
        <f>"이동도서관"</f>
        <v>이동도서관</v>
      </c>
      <c r="B378" s="1" t="str">
        <f>"M813.6-김53213ㅂ=2"</f>
        <v>M813.6-김53213ㅂ=2</v>
      </c>
      <c r="C378" s="1" t="str">
        <f>"비스킷"</f>
        <v>비스킷</v>
      </c>
      <c r="D378" s="1" t="str">
        <f>"김선미 글"</f>
        <v>김선미 글</v>
      </c>
      <c r="E378" s="1" t="str">
        <f>"위즈덤하우스"</f>
        <v>위즈덤하우스</v>
      </c>
      <c r="F378" s="1" t="str">
        <f>"227 p.;22 cm"</f>
        <v>227 p.;22 cm</v>
      </c>
      <c r="G378" s="1"/>
    </row>
    <row r="379" spans="1:7" x14ac:dyDescent="0.3">
      <c r="A379" s="1" t="str">
        <f>"이동도서관"</f>
        <v>이동도서관</v>
      </c>
      <c r="B379" s="1" t="str">
        <f>"M100-한44ㅅ=2"</f>
        <v>M100-한44ㅅ=2</v>
      </c>
      <c r="C379" s="1" t="str">
        <f>"서사의 위기"</f>
        <v>서사의 위기</v>
      </c>
      <c r="D379" s="1" t="str">
        <f>"한병철 지음;최지수 옮김"</f>
        <v>한병철 지음;최지수 옮김</v>
      </c>
      <c r="E379" s="1" t="str">
        <f>"다산초당:다산북스"</f>
        <v>다산초당:다산북스</v>
      </c>
      <c r="F379" s="1" t="str">
        <f>"144 p.;20 cm"</f>
        <v>144 p.;20 cm</v>
      </c>
      <c r="G379" s="1"/>
    </row>
    <row r="380" spans="1:7" x14ac:dyDescent="0.3">
      <c r="A380" s="1" t="str">
        <f>"이동도서관"</f>
        <v>이동도서관</v>
      </c>
      <c r="B380" s="1" t="str">
        <f>"M813.6-최7921ㄷ=2"</f>
        <v>M813.6-최7921ㄷ=2</v>
      </c>
      <c r="C380" s="1" t="str">
        <f>"단 한 사람"</f>
        <v>단 한 사람</v>
      </c>
      <c r="D380" s="1" t="str">
        <f>"최진영 지음"</f>
        <v>최진영 지음</v>
      </c>
      <c r="E380" s="1" t="str">
        <f>"한겨레출판사"</f>
        <v>한겨레출판사</v>
      </c>
      <c r="F380" s="1" t="str">
        <f>"255 p.;19 cm"</f>
        <v>255 p.;19 cm</v>
      </c>
      <c r="G380" s="1"/>
    </row>
    <row r="381" spans="1:7" x14ac:dyDescent="0.3">
      <c r="A381" s="1" t="str">
        <f>"이동도서관"</f>
        <v>이동도서관</v>
      </c>
      <c r="B381" s="1" t="str">
        <f>"M909-임55ㅊ=2"</f>
        <v>M909-임55ㅊ=2</v>
      </c>
      <c r="C381" s="1" t="str">
        <f>"(요즘 어른을 위한)최소한의 세계사"</f>
        <v>(요즘 어른을 위한)최소한의 세계사</v>
      </c>
      <c r="D381" s="1" t="str">
        <f>"임소미 지음"</f>
        <v>임소미 지음</v>
      </c>
      <c r="E381" s="1" t="str">
        <f>"빅피시"</f>
        <v>빅피시</v>
      </c>
      <c r="F381" s="1" t="str">
        <f>"347 p.:삽화;22 cm"</f>
        <v>347 p.:삽화;22 cm</v>
      </c>
      <c r="G381" s="1"/>
    </row>
    <row r="382" spans="1:7" x14ac:dyDescent="0.3">
      <c r="A382" s="1" t="str">
        <f>"이동도서관"</f>
        <v>이동도서관</v>
      </c>
      <c r="B382" s="1" t="str">
        <f>"M859.82-포53ㅇ=2"</f>
        <v>M859.82-포53ㅇ=2</v>
      </c>
      <c r="C382" s="1" t="str">
        <f>"아침 그리고 저녁 : 욘 포세 장편소설"</f>
        <v>아침 그리고 저녁 : 욘 포세 장편소설</v>
      </c>
      <c r="D382" s="1" t="str">
        <f>"욘 포세 지음;박경희 옮김"</f>
        <v>욘 포세 지음;박경희 옮김</v>
      </c>
      <c r="E382" s="1" t="str">
        <f>"문학동네"</f>
        <v>문학동네</v>
      </c>
      <c r="F382" s="1" t="str">
        <f>"151 p.;20 cm"</f>
        <v>151 p.;20 cm</v>
      </c>
      <c r="G382" s="1"/>
    </row>
    <row r="383" spans="1:7" x14ac:dyDescent="0.3">
      <c r="A383" s="1" t="str">
        <f>"이동도서관"</f>
        <v>이동도서관</v>
      </c>
      <c r="B383" s="1" t="str">
        <f>"M331.54-송19ㅅ=2"</f>
        <v>M331.54-송19ㅅ=2</v>
      </c>
      <c r="C383" s="1" t="str">
        <f>"시대예보  : 핵개인의 시대"</f>
        <v>시대예보  : 핵개인의 시대</v>
      </c>
      <c r="D383" s="1" t="str">
        <f>"송길영 지음"</f>
        <v>송길영 지음</v>
      </c>
      <c r="E383" s="1" t="str">
        <f>"교보문고"</f>
        <v>교보문고</v>
      </c>
      <c r="F383" s="1" t="str">
        <f>"340 p.;19 cm"</f>
        <v>340 p.;19 cm</v>
      </c>
      <c r="G383" s="1"/>
    </row>
    <row r="384" spans="1:7" x14ac:dyDescent="0.3">
      <c r="A384" s="1" t="str">
        <f>"이동도서관"</f>
        <v>이동도서관</v>
      </c>
      <c r="B384" s="1" t="str">
        <f>"M833.6-무23도=2"</f>
        <v>M833.6-무23도=2</v>
      </c>
      <c r="C384" s="1" t="str">
        <f>"도시와 그 불확실한 벽  : 무라카미 하루키 장편소설"</f>
        <v>도시와 그 불확실한 벽  : 무라카미 하루키 장편소설</v>
      </c>
      <c r="D384" s="1" t="str">
        <f>"무라카미 하루키 지음;홍은주 옮김"</f>
        <v>무라카미 하루키 지음;홍은주 옮김</v>
      </c>
      <c r="E384" s="1" t="str">
        <f>"문학동네"</f>
        <v>문학동네</v>
      </c>
      <c r="F384" s="1" t="str">
        <f>"767 p.;20 cm"</f>
        <v>767 p.;20 cm</v>
      </c>
      <c r="G384" s="1"/>
    </row>
    <row r="385" spans="1:7" x14ac:dyDescent="0.3">
      <c r="A385" s="1" t="str">
        <f>"이동도서관"</f>
        <v>이동도서관</v>
      </c>
      <c r="B385" s="1" t="str">
        <f>"M325.211-하229ㅍ=2"</f>
        <v>M325.211-하229ㅍ=2</v>
      </c>
      <c r="C385" s="1" t="str">
        <f>"퓨처 셀프  : 현재와 미래가 달라지는 놀라운 혁명"</f>
        <v>퓨처 셀프  : 현재와 미래가 달라지는 놀라운 혁명</v>
      </c>
      <c r="D385" s="1" t="str">
        <f>"벤저민 하디 지음;최은아 옮김"</f>
        <v>벤저민 하디 지음;최은아 옮김</v>
      </c>
      <c r="E385" s="1" t="str">
        <f>"상상스퀘어"</f>
        <v>상상스퀘어</v>
      </c>
      <c r="F385" s="1" t="str">
        <f>"291 p.:삽화;21 cm"</f>
        <v>291 p.:삽화;21 cm</v>
      </c>
      <c r="G385" s="1"/>
    </row>
    <row r="386" spans="1:7" x14ac:dyDescent="0.3">
      <c r="A386" s="1" t="str">
        <f>"이동도서관"</f>
        <v>이동도서관</v>
      </c>
      <c r="B386" s="1" t="str">
        <f>"M818-이67215ㅅ=2"</f>
        <v>M818-이67215ㅅ=2</v>
      </c>
      <c r="C386" s="1" t="str">
        <f>"시간이 조금 걸리더라도  : 이윤엽 이야기 판화 그림책"</f>
        <v>시간이 조금 걸리더라도  : 이윤엽 이야기 판화 그림책</v>
      </c>
      <c r="D386" s="1" t="str">
        <f>"이윤엽 지음"</f>
        <v>이윤엽 지음</v>
      </c>
      <c r="E386" s="1" t="str">
        <f>"서유재"</f>
        <v>서유재</v>
      </c>
      <c r="F386" s="1" t="str">
        <f>"179 p.:천연색삽화;25 cm"</f>
        <v>179 p.:천연색삽화;25 cm</v>
      </c>
      <c r="G386" s="1"/>
    </row>
    <row r="387" spans="1:7" x14ac:dyDescent="0.3">
      <c r="A387" s="1" t="str">
        <f>"이동도서관"</f>
        <v>이동도서관</v>
      </c>
      <c r="B387" s="1" t="str">
        <f>"M813.6-김234ㅁ=2"</f>
        <v>M813.6-김234ㅁ=2</v>
      </c>
      <c r="C387" s="1" t="str">
        <f>"모두의 연수  : 김려령 장편소설"</f>
        <v>모두의 연수  : 김려령 장편소설</v>
      </c>
      <c r="D387" s="1" t="str">
        <f>"김려령 지음"</f>
        <v>김려령 지음</v>
      </c>
      <c r="E387" s="1" t="str">
        <f>"비룡소"</f>
        <v>비룡소</v>
      </c>
      <c r="F387" s="1" t="str">
        <f>"331 p.;21 cm"</f>
        <v>331 p.;21 cm</v>
      </c>
      <c r="G387" s="1"/>
    </row>
    <row r="388" spans="1:7" x14ac:dyDescent="0.3">
      <c r="A388" s="1" t="str">
        <f>"이동도서관"</f>
        <v>이동도서관</v>
      </c>
      <c r="B388" s="1" t="str">
        <f>"MJ 031-맹51ㅅ=2"</f>
        <v>MJ 031-맹51ㅅ=2</v>
      </c>
      <c r="C388" s="1" t="str">
        <f>"성 평등이 뭐예요?"</f>
        <v>성 평등이 뭐예요?</v>
      </c>
      <c r="D388" s="1" t="str">
        <f>"제랄딘 맹상 글;하프밥 그림;이정주 옮김"</f>
        <v>제랄딘 맹상 글;하프밥 그림;이정주 옮김</v>
      </c>
      <c r="E388" s="1" t="str">
        <f>"개암나무"</f>
        <v>개암나무</v>
      </c>
      <c r="F388" s="1" t="str">
        <f>"71 p.:삽화;25 cm"</f>
        <v>71 p.:삽화;25 cm</v>
      </c>
      <c r="G388" s="1"/>
    </row>
    <row r="389" spans="1:7" x14ac:dyDescent="0.3">
      <c r="A389" s="1" t="str">
        <f>"이동도서관"</f>
        <v>이동도서관</v>
      </c>
      <c r="B389" s="1" t="str">
        <f>"MJ 853-멥58ㄹ=2"</f>
        <v>MJ 853-멥58ㄹ=2</v>
      </c>
      <c r="C389" s="1" t="str">
        <f>"루카-루카"</f>
        <v>루카-루카</v>
      </c>
      <c r="D389" s="1" t="str">
        <f>"구드룬 멥스 글;미하엘 쇼버 그림;김경연 옮김"</f>
        <v>구드룬 멥스 글;미하엘 쇼버 그림;김경연 옮김</v>
      </c>
      <c r="E389" s="1" t="str">
        <f>"풀빛"</f>
        <v>풀빛</v>
      </c>
      <c r="F389" s="1" t="str">
        <f>"151 p.:삽화;23 cm"</f>
        <v>151 p.:삽화;23 cm</v>
      </c>
      <c r="G389" s="1"/>
    </row>
    <row r="390" spans="1:7" x14ac:dyDescent="0.3">
      <c r="A390" s="1" t="str">
        <f>"이동도서관"</f>
        <v>이동도서관</v>
      </c>
      <c r="B390" s="1" t="str">
        <f>"MJ 813.8-권67ㄲ=4"</f>
        <v>MJ 813.8-권67ㄲ=4</v>
      </c>
      <c r="C390" s="1" t="str">
        <f>"꽃할머니"</f>
        <v>꽃할머니</v>
      </c>
      <c r="D390" s="1" t="str">
        <f>"권윤덕 글·그림"</f>
        <v>권윤덕 글·그림</v>
      </c>
      <c r="E390" s="1" t="str">
        <f>"사계절"</f>
        <v>사계절</v>
      </c>
      <c r="F390" s="1" t="str">
        <f>"48 p.:천연색삽화;26 cm"</f>
        <v>48 p.:천연색삽화;26 cm</v>
      </c>
      <c r="G390" s="1"/>
    </row>
    <row r="391" spans="1:7" x14ac:dyDescent="0.3">
      <c r="A391" s="1" t="str">
        <f>"이동도서관"</f>
        <v>이동도서관</v>
      </c>
      <c r="B391" s="1" t="str">
        <f>"M814.6-박5166ㅅ=2"</f>
        <v>M814.6-박5166ㅅ=2</v>
      </c>
      <c r="C391" s="1" t="str">
        <f>"순도 100퍼센트의 휴식  : 박상영 에세이"</f>
        <v>순도 100퍼센트의 휴식  : 박상영 에세이</v>
      </c>
      <c r="D391" s="1" t="str">
        <f>"박상영 지음"</f>
        <v>박상영 지음</v>
      </c>
      <c r="E391" s="1" t="str">
        <f>"인플루엔셜"</f>
        <v>인플루엔셜</v>
      </c>
      <c r="F391" s="1" t="str">
        <f>"264 p.:천연색삽화;20 cm"</f>
        <v>264 p.:천연색삽화;20 cm</v>
      </c>
      <c r="G391" s="1"/>
    </row>
    <row r="392" spans="1:7" x14ac:dyDescent="0.3">
      <c r="A392" s="1" t="str">
        <f>"이동도서관"</f>
        <v>이동도서관</v>
      </c>
      <c r="B392" s="1" t="str">
        <f>"M818-황5321ㅊ=2"</f>
        <v>M818-황5321ㅊ=2</v>
      </c>
      <c r="C392" s="1" t="str">
        <f>"최선을 다하면 죽는다"</f>
        <v>최선을 다하면 죽는다</v>
      </c>
      <c r="D392" s="1" t="str">
        <f>"황선우,김혼비 지음"</f>
        <v>황선우,김혼비 지음</v>
      </c>
      <c r="E392" s="1" t="str">
        <f>"문학동네"</f>
        <v>문학동네</v>
      </c>
      <c r="F392" s="1" t="str">
        <f>"217 p.;21 cm"</f>
        <v>217 p.;21 cm</v>
      </c>
      <c r="G392" s="1"/>
    </row>
    <row r="393" spans="1:7" x14ac:dyDescent="0.3">
      <c r="A393" s="1" t="str">
        <f>"이동도서관"</f>
        <v>이동도서관</v>
      </c>
      <c r="B393" s="1" t="str">
        <f>"MJ 219.2-최53ㄱ-5"</f>
        <v>MJ 219.2-최53ㄱ-5</v>
      </c>
      <c r="C393" s="1" t="str">
        <f>"(처음 읽는)그리스 로마 신화. 5, 별자리 이야기"</f>
        <v>(처음 읽는)그리스 로마 신화. 5, 별자리 이야기</v>
      </c>
      <c r="D393" s="1" t="str">
        <f>"최설희 글;한현동 그림"</f>
        <v>최설희 글;한현동 그림</v>
      </c>
      <c r="E393" s="1" t="str">
        <f>"미래엔:아이세움"</f>
        <v>미래엔:아이세움</v>
      </c>
      <c r="F393" s="1" t="str">
        <f>"152 p.:천연색삽화;21 cm"</f>
        <v>152 p.:천연색삽화;21 cm</v>
      </c>
      <c r="G393" s="1"/>
    </row>
    <row r="394" spans="1:7" x14ac:dyDescent="0.3">
      <c r="A394" s="1" t="str">
        <f>"이동도서관"</f>
        <v>이동도서관</v>
      </c>
      <c r="B394" s="1" t="str">
        <f>"MJ 219.2-최53ㄱ-6"</f>
        <v>MJ 219.2-최53ㄱ-6</v>
      </c>
      <c r="C394" s="1" t="str">
        <f>"(처음 읽는) 그리스 로마 신화 = First Greek mythology. 6, 괴물 이야기"</f>
        <v>(처음 읽는) 그리스 로마 신화 = First Greek mythology. 6, 괴물 이야기</v>
      </c>
      <c r="D394" s="1" t="str">
        <f>"최설희 글;한현동 그림"</f>
        <v>최설희 글;한현동 그림</v>
      </c>
      <c r="E394" s="1" t="str">
        <f>"아이세움:미래엔"</f>
        <v>아이세움:미래엔</v>
      </c>
      <c r="F394" s="1" t="str">
        <f>"152 p.:천연색삽화, 계보;22 cm"</f>
        <v>152 p.:천연색삽화, 계보;22 cm</v>
      </c>
      <c r="G394" s="1"/>
    </row>
    <row r="395" spans="1:7" x14ac:dyDescent="0.3">
      <c r="A395" s="1" t="str">
        <f>"이동도서관"</f>
        <v>이동도서관</v>
      </c>
      <c r="B395" s="1" t="str">
        <f>"MJ 219.2-최53ㄱ-7"</f>
        <v>MJ 219.2-최53ㄱ-7</v>
      </c>
      <c r="C395" s="1" t="str">
        <f>"(처음 읽는) 그리스 로마 신화. 7, 페르세우스의 모험"</f>
        <v>(처음 읽는) 그리스 로마 신화. 7, 페르세우스의 모험</v>
      </c>
      <c r="D395" s="1" t="str">
        <f>"최설희 글;한현동 그림"</f>
        <v>최설희 글;한현동 그림</v>
      </c>
      <c r="E395" s="1" t="str">
        <f>"미래엔:아이세움"</f>
        <v>미래엔:아이세움</v>
      </c>
      <c r="F395" s="1" t="str">
        <f>"128 p.:천연색삽화;22 cm"</f>
        <v>128 p.:천연색삽화;22 cm</v>
      </c>
      <c r="G395" s="1"/>
    </row>
    <row r="396" spans="1:7" x14ac:dyDescent="0.3">
      <c r="A396" s="1" t="str">
        <f>"이동도서관"</f>
        <v>이동도서관</v>
      </c>
      <c r="B396" s="1" t="str">
        <f>"MJ 219.2-최53ㄱ-8"</f>
        <v>MJ 219.2-최53ㄱ-8</v>
      </c>
      <c r="C396" s="1" t="str">
        <f>"(처음 읽는) 그리스 로마 신화. 8, 영웅 헤라클레스"</f>
        <v>(처음 읽는) 그리스 로마 신화. 8, 영웅 헤라클레스</v>
      </c>
      <c r="D396" s="1" t="str">
        <f>"최설희 글;정수영 구성;한현동 그림"</f>
        <v>최설희 글;정수영 구성;한현동 그림</v>
      </c>
      <c r="E396" s="1" t="str">
        <f>"미래엔 :아이세움"</f>
        <v>미래엔 :아이세움</v>
      </c>
      <c r="F396" s="1" t="str">
        <f>"139 p.:천연색삽화, 계보;22 cm"</f>
        <v>139 p.:천연색삽화, 계보;22 cm</v>
      </c>
      <c r="G396" s="1"/>
    </row>
    <row r="397" spans="1:7" x14ac:dyDescent="0.3">
      <c r="A397" s="1" t="str">
        <f>"이동도서관"</f>
        <v>이동도서관</v>
      </c>
      <c r="B397" s="1" t="str">
        <f>"MJ 404-에18ㅇ-10"</f>
        <v>MJ 404-에18ㅇ-10</v>
      </c>
      <c r="C397" s="1" t="str">
        <f>"에그박사 : 자연 생물 관찰 만화. 10"</f>
        <v>에그박사 : 자연 생물 관찰 만화. 10</v>
      </c>
      <c r="D397" s="1" t="str">
        <f>"에그박사 원작;박송이 글;홍종현 그림"</f>
        <v>에그박사 원작;박송이 글;홍종현 그림</v>
      </c>
      <c r="E397" s="1" t="str">
        <f>"아이세움(미래엔)"</f>
        <v>아이세움(미래엔)</v>
      </c>
      <c r="F397" s="1" t="str">
        <f>"160 p.:전부천연색삽화;22 cm"</f>
        <v>160 p.:전부천연색삽화;22 cm</v>
      </c>
      <c r="G397" s="1"/>
    </row>
    <row r="398" spans="1:7" x14ac:dyDescent="0.3">
      <c r="A398" s="1" t="str">
        <f>"이동도서관"</f>
        <v>이동도서관</v>
      </c>
      <c r="B398" s="1" t="str">
        <f>"MJ 404-안819ㅎ-9"</f>
        <v>MJ 404-안819ㅎ-9</v>
      </c>
      <c r="C398" s="1" t="str">
        <f>"(흔한남매의) 흔한 호기심 :  일상에서 만나는 과학상식. 9"</f>
        <v>(흔한남매의) 흔한 호기심 :  일상에서 만나는 과학상식. 9</v>
      </c>
      <c r="D398" s="1" t="str">
        <f>"흔한남매 원작;안치현 글;유난희 그림"</f>
        <v>흔한남매 원작;안치현 글;유난희 그림</v>
      </c>
      <c r="E398" s="1" t="str">
        <f>"MiraeN 아이세움 :미래엔"</f>
        <v>MiraeN 아이세움 :미래엔</v>
      </c>
      <c r="F398" s="1" t="str">
        <f>"164 p.:전부천연색삽화;26 cm"</f>
        <v>164 p.:전부천연색삽화;26 cm</v>
      </c>
      <c r="G398" s="1"/>
    </row>
    <row r="399" spans="1:7" x14ac:dyDescent="0.3">
      <c r="A399" s="1" t="str">
        <f>"이동도서관"</f>
        <v>이동도서관</v>
      </c>
      <c r="B399" s="1" t="str">
        <f>"M813.6-유646ㅂ=2"</f>
        <v>M813.6-유646ㅂ=2</v>
      </c>
      <c r="C399" s="1" t="str">
        <f>"비가 오면 열리는 상점  = The rainbow goblin store  : 유영광 장편소설"</f>
        <v>비가 오면 열리는 상점  = The rainbow goblin store  : 유영광 장편소설</v>
      </c>
      <c r="D399" s="1" t="str">
        <f>"유영광 지음"</f>
        <v>유영광 지음</v>
      </c>
      <c r="E399" s="1" t="str">
        <f>"클레이하우스"</f>
        <v>클레이하우스</v>
      </c>
      <c r="F399" s="1" t="str">
        <f>"327 p.;21 cm"</f>
        <v>327 p.;21 cm</v>
      </c>
      <c r="G399" s="1"/>
    </row>
    <row r="400" spans="1:7" x14ac:dyDescent="0.3">
      <c r="A400" s="1" t="str">
        <f>"이동도서관"</f>
        <v>이동도서관</v>
      </c>
      <c r="B400" s="1" t="str">
        <f>"M340.99-처819ㅇ=2"</f>
        <v>M340.99-처819ㅇ=2</v>
      </c>
      <c r="C400" s="1" t="str">
        <f>"윈스턴 처칠, 나의 청춘  : 가장 위대한 영국인, 청년 처칠의 자서전"</f>
        <v>윈스턴 처칠, 나의 청춘  : 가장 위대한 영국인, 청년 처칠의 자서전</v>
      </c>
      <c r="D400" s="1" t="str">
        <f>"윈스턴 S. 처칠 지음;임종원 옮김"</f>
        <v>윈스턴 S. 처칠 지음;임종원 옮김</v>
      </c>
      <c r="E400" s="1" t="str">
        <f>"행북"</f>
        <v>행북</v>
      </c>
      <c r="F400" s="1" t="str">
        <f>"446 p.:삽화, 초상;23 cm"</f>
        <v>446 p.:삽화, 초상;23 cm</v>
      </c>
      <c r="G400" s="1"/>
    </row>
    <row r="401" spans="1:7" x14ac:dyDescent="0.3">
      <c r="A401" s="1" t="str">
        <f>"이동도서관"</f>
        <v>이동도서관</v>
      </c>
      <c r="B401" s="1" t="str">
        <f>"M515.7-히231ㅅ=2"</f>
        <v>M515.7-히231ㅅ=2</v>
      </c>
      <c r="C401" s="1" t="str">
        <f>"3분만 바라보면 눈이 좋아진다 : 전 세계를 발칵 뒤집은 기적의 '눈 그림'"</f>
        <v>3분만 바라보면 눈이 좋아진다 : 전 세계를 발칵 뒤집은 기적의 '눈 그림'</v>
      </c>
      <c r="D401" s="1" t="str">
        <f>"히라마쓰 루이 지음;김소영 옮김"</f>
        <v>히라마쓰 루이 지음;김소영 옮김</v>
      </c>
      <c r="E401" s="1" t="str">
        <f>"쌤앤파커스"</f>
        <v>쌤앤파커스</v>
      </c>
      <c r="F401" s="1" t="str">
        <f>"123 p.:천연색삽화;22 cm"</f>
        <v>123 p.:천연색삽화;22 cm</v>
      </c>
      <c r="G401" s="1"/>
    </row>
    <row r="402" spans="1:7" x14ac:dyDescent="0.3">
      <c r="A402" s="1" t="str">
        <f>"이동도서관"</f>
        <v>이동도서관</v>
      </c>
      <c r="B402" s="1" t="str">
        <f>"MJ 813.8-이586ㅅ"</f>
        <v>MJ 813.8-이586ㅅ</v>
      </c>
      <c r="C402" s="1" t="str">
        <f>"소원 코딱지를 드릴게요  = I'll give you wish-granting booger"</f>
        <v>소원 코딱지를 드릴게요  = I'll give you wish-granting booger</v>
      </c>
      <c r="D402" s="1" t="str">
        <f>"이승민 글;박현주 그림"</f>
        <v>이승민 글;박현주 그림</v>
      </c>
      <c r="E402" s="1" t="str">
        <f>"바우솔 :풀과바람"</f>
        <v>바우솔 :풀과바람</v>
      </c>
      <c r="F402" s="1" t="str">
        <f>"92 p.:천연색삽화;25 cm"</f>
        <v>92 p.:천연색삽화;25 cm</v>
      </c>
      <c r="G402" s="1"/>
    </row>
    <row r="403" spans="1:7" x14ac:dyDescent="0.3">
      <c r="A403" s="1" t="str">
        <f>"이동도서관"</f>
        <v>이동도서관</v>
      </c>
      <c r="B403" s="1" t="str">
        <f>"M813.6-이729ㄲ=2"</f>
        <v>M813.6-이729ㄲ=2</v>
      </c>
      <c r="C403" s="1" t="str">
        <f>"껍데기"</f>
        <v>껍데기</v>
      </c>
      <c r="D403" s="1" t="str">
        <f>"이재호 지음"</f>
        <v>이재호 지음</v>
      </c>
      <c r="E403" s="1" t="str">
        <f>"고블"</f>
        <v>고블</v>
      </c>
      <c r="F403" s="1" t="str">
        <f>"232 p.;20 cm"</f>
        <v>232 p.;20 cm</v>
      </c>
      <c r="G403" s="1"/>
    </row>
    <row r="404" spans="1:7" x14ac:dyDescent="0.3">
      <c r="A404" s="1" t="str">
        <f>"이동도서관"</f>
        <v>이동도서관</v>
      </c>
      <c r="B404" s="1" t="str">
        <f>"M911-최832ㅊ=2"</f>
        <v>M911-최832ㅊ=2</v>
      </c>
      <c r="C404" s="1" t="str">
        <f>"(5천년 역사가 단숨에 이해되는) 최소한의 한국사"</f>
        <v>(5천년 역사가 단숨에 이해되는) 최소한의 한국사</v>
      </c>
      <c r="D404" s="1" t="str">
        <f>"최태성 지음"</f>
        <v>최태성 지음</v>
      </c>
      <c r="E404" s="1" t="str">
        <f>"프런트페이지"</f>
        <v>프런트페이지</v>
      </c>
      <c r="F404" s="1" t="str">
        <f>"351 p.:삽화(일부천연색), 지도;21 cm"</f>
        <v>351 p.:삽화(일부천연색), 지도;21 cm</v>
      </c>
      <c r="G404" s="1"/>
    </row>
    <row r="405" spans="1:7" x14ac:dyDescent="0.3">
      <c r="A405" s="1" t="str">
        <f>"이동도서관"</f>
        <v>이동도서관</v>
      </c>
      <c r="B405" s="1" t="str">
        <f>"MJ 811.8-김399ㅇ=2"</f>
        <v>MJ 811.8-김399ㅇ=2</v>
      </c>
      <c r="C405" s="1" t="str">
        <f>"어찌씨가 키득키득"</f>
        <v>어찌씨가 키득키득</v>
      </c>
      <c r="D405" s="1" t="str">
        <f>"김미희 동시;슷카이 그림"</f>
        <v>김미희 동시;슷카이 그림</v>
      </c>
      <c r="E405" s="1" t="str">
        <f>"뜨인돌어린이 :뜨인돌출판"</f>
        <v>뜨인돌어린이 :뜨인돌출판</v>
      </c>
      <c r="F405" s="1" t="str">
        <f>"97 p.:천연색삽화;20 cm"</f>
        <v>97 p.:천연색삽화;20 cm</v>
      </c>
      <c r="G405" s="1"/>
    </row>
    <row r="406" spans="1:7" x14ac:dyDescent="0.3">
      <c r="A406" s="1" t="str">
        <f>"이동도서관"</f>
        <v>이동도서관</v>
      </c>
      <c r="B406" s="1" t="str">
        <f>"M199.1-단17ㅊ-3=2"</f>
        <v>M199.1-단17ㅊ-3=2</v>
      </c>
      <c r="C406" s="1" t="str">
        <f>"청춘, 고전에 길을 묻다. 3"</f>
        <v>청춘, 고전에 길을 묻다. 3</v>
      </c>
      <c r="D406" s="1" t="str">
        <f>"단국대학교 교양기초교육연구소 엮음"</f>
        <v>단국대학교 교양기초교육연구소 엮음</v>
      </c>
      <c r="E406" s="1" t="str">
        <f>"Nosvos :단국대학교출판부"</f>
        <v>Nosvos :단국대학교출판부</v>
      </c>
      <c r="F406" s="1" t="str">
        <f>"392 p.:삽화, 초상;23 cm"</f>
        <v>392 p.:삽화, 초상;23 cm</v>
      </c>
      <c r="G406" s="1"/>
    </row>
    <row r="407" spans="1:7" x14ac:dyDescent="0.3">
      <c r="A407" s="1" t="str">
        <f>"이동도서관"</f>
        <v>이동도서관</v>
      </c>
      <c r="B407" s="1" t="str">
        <f>"M199.1-단17ㅊ-1=2"</f>
        <v>M199.1-단17ㅊ-1=2</v>
      </c>
      <c r="C407" s="1" t="str">
        <f>"청춘, 고전에 길을 묻다. 1"</f>
        <v>청춘, 고전에 길을 묻다. 1</v>
      </c>
      <c r="D407" s="1" t="str">
        <f>"단국대학교 교양기초교육연구소 엮음"</f>
        <v>단국대학교 교양기초교육연구소 엮음</v>
      </c>
      <c r="E407" s="1" t="str">
        <f>"역락"</f>
        <v>역락</v>
      </c>
      <c r="F407" s="1" t="str">
        <f>"432 p.:삽화, 초상;23 cm"</f>
        <v>432 p.:삽화, 초상;23 cm</v>
      </c>
      <c r="G407" s="1"/>
    </row>
    <row r="408" spans="1:7" x14ac:dyDescent="0.3">
      <c r="A408" s="1" t="str">
        <f>"이동도서관"</f>
        <v>이동도서관</v>
      </c>
      <c r="B408" s="1" t="str">
        <f>"M199.1-단17ㅊ-2=2"</f>
        <v>M199.1-단17ㅊ-2=2</v>
      </c>
      <c r="C408" s="1" t="str">
        <f>"청춘, 고전에 길을 묻다. 2"</f>
        <v>청춘, 고전에 길을 묻다. 2</v>
      </c>
      <c r="D408" s="1" t="str">
        <f>"단국대학교 교양기초교육연구소 엮음"</f>
        <v>단국대학교 교양기초교육연구소 엮음</v>
      </c>
      <c r="E408" s="1" t="str">
        <f>"역락"</f>
        <v>역락</v>
      </c>
      <c r="F408" s="1" t="str">
        <f>"340 p.:삽화, 초상;23 cm"</f>
        <v>340 p.:삽화, 초상;23 cm</v>
      </c>
      <c r="G408" s="1"/>
    </row>
    <row r="409" spans="1:7" x14ac:dyDescent="0.3">
      <c r="A409" s="1" t="str">
        <f>"이동도서관"</f>
        <v>이동도서관</v>
      </c>
      <c r="B409" s="1" t="str">
        <f>"M813.6-천5321을=2"</f>
        <v>M813.6-천5321을=2</v>
      </c>
      <c r="C409" s="1" t="str">
        <f>"노을 건너기  : 천선란 소설, 소설의첫만남"</f>
        <v>노을 건너기  : 천선란 소설, 소설의첫만남</v>
      </c>
      <c r="D409" s="1" t="str">
        <f>"천선란 지음;리툰 그림"</f>
        <v>천선란 지음;리툰 그림</v>
      </c>
      <c r="E409" s="1" t="str">
        <f>"창비"</f>
        <v>창비</v>
      </c>
      <c r="F409" s="1" t="str">
        <f>"72 p.:삽화;19 cm"</f>
        <v>72 p.:삽화;19 cm</v>
      </c>
      <c r="G409" s="1"/>
    </row>
    <row r="410" spans="1:7" x14ac:dyDescent="0.3">
      <c r="A410" s="1" t="str">
        <f>"종합자료실"</f>
        <v>종합자료실</v>
      </c>
      <c r="B410" s="1" t="str">
        <f>"747.5-김72ㅇ"</f>
        <v>747.5-김72ㅇ</v>
      </c>
      <c r="C410" s="1" t="str">
        <f>"(김재우의) 영어회화 100  : 원어민처럼 말하는 진짜 영어회화"</f>
        <v>(김재우의) 영어회화 100  : 원어민처럼 말하는 진짜 영어회화</v>
      </c>
      <c r="D410" s="1" t="str">
        <f>"김재우 지음"</f>
        <v>김재우 지음</v>
      </c>
      <c r="E410" s="1" t="str">
        <f>"상상스퀘어"</f>
        <v>상상스퀘어</v>
      </c>
      <c r="F410" s="1" t="str">
        <f>"339 p.;21 cm"</f>
        <v>339 p.;21 cm</v>
      </c>
      <c r="G410" s="1"/>
    </row>
    <row r="411" spans="1:7" x14ac:dyDescent="0.3">
      <c r="A411" s="1" t="str">
        <f>"종합자료실"</f>
        <v>종합자료실</v>
      </c>
      <c r="B411" s="1" t="str">
        <f>"598.132-최39ㅊ"</f>
        <v>598.132-최39ㅊ</v>
      </c>
      <c r="C411" s="1" t="str">
        <f>"최민준의 아들코칭 백과  : 기질 파악부터 말공부, 사회성, 감정코칭까지"</f>
        <v>최민준의 아들코칭 백과  : 기질 파악부터 말공부, 사회성, 감정코칭까지</v>
      </c>
      <c r="D411" s="1" t="str">
        <f>"최민준 글;신예원 그림"</f>
        <v>최민준 글;신예원 그림</v>
      </c>
      <c r="E411" s="1" t="str">
        <f>"위즈덤하우스"</f>
        <v>위즈덤하우스</v>
      </c>
      <c r="F411" s="1" t="str">
        <f>"373 p.:천연색삽화;21 cm"</f>
        <v>373 p.:천연색삽화;21 cm</v>
      </c>
      <c r="G411" s="1"/>
    </row>
    <row r="412" spans="1:7" x14ac:dyDescent="0.3">
      <c r="A412" s="1" t="str">
        <f>"종합자료실"</f>
        <v>종합자료실</v>
      </c>
      <c r="B412" s="1" t="str">
        <f>"517.5-조58ㅇ"</f>
        <v>517.5-조58ㅇ</v>
      </c>
      <c r="C412" s="1" t="str">
        <f>"완전 배출 : 채소·과일·무첨가 주스는 어떻게 비만과 질병을 몰아내는가"</f>
        <v>완전 배출 : 채소·과일·무첨가 주스는 어떻게 비만과 질병을 몰아내는가</v>
      </c>
      <c r="D412" s="1" t="str">
        <f>"조승우 지음"</f>
        <v>조승우 지음</v>
      </c>
      <c r="E412" s="1" t="str">
        <f>"사이몬북스"</f>
        <v>사이몬북스</v>
      </c>
      <c r="F412" s="1" t="str">
        <f>"304 p.;21 cm"</f>
        <v>304 p.;21 cm</v>
      </c>
      <c r="G412" s="1"/>
    </row>
    <row r="413" spans="1:7" x14ac:dyDescent="0.3">
      <c r="A413" s="1" t="str">
        <f>"종합자료실"</f>
        <v>종합자료실</v>
      </c>
      <c r="B413" s="1" t="str">
        <f>"189-웨43ㅂ"</f>
        <v>189-웨43ㅂ</v>
      </c>
      <c r="C413" s="1" t="str">
        <f>"브레인포그 : 내 삶의 몰입과 집중을 되찾는 10가지 방법"</f>
        <v>브레인포그 : 내 삶의 몰입과 집중을 되찾는 10가지 방법</v>
      </c>
      <c r="D413" s="1" t="str">
        <f>"질 P. 웨버 지음;진정성 옮김"</f>
        <v>질 P. 웨버 지음;진정성 옮김</v>
      </c>
      <c r="E413" s="1" t="str">
        <f>"한국경제신문"</f>
        <v>한국경제신문</v>
      </c>
      <c r="F413" s="1" t="str">
        <f>"284 p.;20 cm"</f>
        <v>284 p.;20 cm</v>
      </c>
      <c r="G413" s="1"/>
    </row>
    <row r="414" spans="1:7" x14ac:dyDescent="0.3">
      <c r="A414" s="1" t="str">
        <f>"종합자료실"</f>
        <v>종합자료실</v>
      </c>
      <c r="B414" s="1" t="str">
        <f>"513.899-김94ㄸ"</f>
        <v>513.899-김94ㄸ</v>
      </c>
      <c r="C414" s="1" t="str">
        <f>"딸이 조용히 무너져 있었다"</f>
        <v>딸이 조용히 무너져 있었다</v>
      </c>
      <c r="D414" s="1" t="str">
        <f>"김현아 지음"</f>
        <v>김현아 지음</v>
      </c>
      <c r="E414" s="1" t="str">
        <f>"창비"</f>
        <v>창비</v>
      </c>
      <c r="F414" s="1" t="str">
        <f>"304 p.:삽화, 도표;20 cm"</f>
        <v>304 p.:삽화, 도표;20 cm</v>
      </c>
      <c r="G414" s="1"/>
    </row>
    <row r="415" spans="1:7" x14ac:dyDescent="0.3">
      <c r="A415" s="1" t="str">
        <f>"종합자료실"</f>
        <v>종합자료실</v>
      </c>
      <c r="B415" s="1" t="str">
        <f>"813.6-임55나"</f>
        <v>813.6-임55나</v>
      </c>
      <c r="C415" s="1" t="str">
        <f>"나는 지금도 거기 있어 : 임솔아 장편소설"</f>
        <v>나는 지금도 거기 있어 : 임솔아 장편소설</v>
      </c>
      <c r="D415" s="1" t="str">
        <f>"임솔아 지음"</f>
        <v>임솔아 지음</v>
      </c>
      <c r="E415" s="1" t="str">
        <f>"문학동네"</f>
        <v>문학동네</v>
      </c>
      <c r="F415" s="1" t="str">
        <f>"328 p.:삽화;20 cm"</f>
        <v>328 p.:삽화;20 cm</v>
      </c>
      <c r="G415" s="1"/>
    </row>
    <row r="416" spans="1:7" x14ac:dyDescent="0.3">
      <c r="A416" s="1" t="str">
        <f>"종합자료실"</f>
        <v>종합자료실</v>
      </c>
      <c r="B416" s="1" t="str">
        <f>"802.5-한53ㅎ"</f>
        <v>802.5-한53ㅎ</v>
      </c>
      <c r="C416" s="1" t="str">
        <f>"한석준의 말하기 수업  : 말하기에 자신이 생기면 인생이 바뀝니다!"</f>
        <v>한석준의 말하기 수업  : 말하기에 자신이 생기면 인생이 바뀝니다!</v>
      </c>
      <c r="D416" s="1" t="str">
        <f>"한석준 지음"</f>
        <v>한석준 지음</v>
      </c>
      <c r="E416" s="1" t="str">
        <f>"인플루엔셜"</f>
        <v>인플루엔셜</v>
      </c>
      <c r="F416" s="1" t="str">
        <f>"255 p.:삽화;21 cm"</f>
        <v>255 p.:삽화;21 cm</v>
      </c>
      <c r="G416" s="1"/>
    </row>
    <row r="417" spans="1:7" x14ac:dyDescent="0.3">
      <c r="A417" s="1" t="str">
        <f>"종합자료실"</f>
        <v>종합자료실</v>
      </c>
      <c r="B417" s="1" t="str">
        <f>"476.10733-무63ㄱ"</f>
        <v>476.10733-무63ㄱ</v>
      </c>
      <c r="C417" s="1" t="str">
        <f>"경험은 어떻게 유전자에 새겨지는가  : 환경과 맥락에 따라 달라지는 유전체에 관한 행동 후성유전학의 놀라운 발견"</f>
        <v>경험은 어떻게 유전자에 새겨지는가  : 환경과 맥락에 따라 달라지는 유전체에 관한 행동 후성유전학의 놀라운 발견</v>
      </c>
      <c r="D417" s="1" t="str">
        <f>"데이비드 무어 지음;정지인 옮김"</f>
        <v>데이비드 무어 지음;정지인 옮김</v>
      </c>
      <c r="E417" s="1" t="str">
        <f>"아몬드"</f>
        <v>아몬드</v>
      </c>
      <c r="F417" s="1" t="str">
        <f>"539 p.:삽화, 도표;21 cm"</f>
        <v>539 p.:삽화, 도표;21 cm</v>
      </c>
      <c r="G417" s="1"/>
    </row>
    <row r="418" spans="1:7" x14ac:dyDescent="0.3">
      <c r="A418" s="1" t="str">
        <f>"종합자료실"</f>
        <v>종합자료실</v>
      </c>
      <c r="B418" s="1" t="str">
        <f>"818-정79ㅁ=3"</f>
        <v>818-정79ㅁ=3</v>
      </c>
      <c r="C418" s="1" t="str">
        <f>"마시지 않을 수 없는 밤이니까요 : 정지아 에세이"</f>
        <v>마시지 않을 수 없는 밤이니까요 : 정지아 에세이</v>
      </c>
      <c r="D418" s="1" t="str">
        <f>"정지아 지음"</f>
        <v>정지아 지음</v>
      </c>
      <c r="E418" s="1" t="str">
        <f>"마이디어북스"</f>
        <v>마이디어북스</v>
      </c>
      <c r="F418" s="1" t="str">
        <f>"320 p.:삽화;19 cm"</f>
        <v>320 p.:삽화;19 cm</v>
      </c>
      <c r="G418" s="1"/>
    </row>
    <row r="419" spans="1:7" x14ac:dyDescent="0.3">
      <c r="A419" s="1" t="str">
        <f>"종합자료실"</f>
        <v>종합자료실</v>
      </c>
      <c r="B419" s="1" t="str">
        <f>"813.6-최6821아"</f>
        <v>813.6-최6821아</v>
      </c>
      <c r="C419" s="1" t="str">
        <f>"아주 희미한 빛으로도  : 최은영 소설"</f>
        <v>아주 희미한 빛으로도  : 최은영 소설</v>
      </c>
      <c r="D419" s="1" t="str">
        <f>"최은영 지음"</f>
        <v>최은영 지음</v>
      </c>
      <c r="E419" s="1" t="str">
        <f>"문학동네"</f>
        <v>문학동네</v>
      </c>
      <c r="F419" s="1" t="str">
        <f>"349 p.;21 cm"</f>
        <v>349 p.;21 cm</v>
      </c>
      <c r="G419" s="1"/>
    </row>
    <row r="420" spans="1:7" x14ac:dyDescent="0.3">
      <c r="A420" s="1" t="str">
        <f>"종합자료실"</f>
        <v>종합자료실</v>
      </c>
      <c r="B420" s="1" t="str">
        <f>"863-에2385ㅂ"</f>
        <v>863-에2385ㅂ</v>
      </c>
      <c r="C420" s="1" t="str">
        <f>"바깥 일기"</f>
        <v>바깥 일기</v>
      </c>
      <c r="D420" s="1" t="str">
        <f>"아니 에르노 지음;정혜용 옮김"</f>
        <v>아니 에르노 지음;정혜용 옮김</v>
      </c>
      <c r="E420" s="1" t="str">
        <f>"열린책들"</f>
        <v>열린책들</v>
      </c>
      <c r="F420" s="1" t="str">
        <f>"130 p.;20 cm"</f>
        <v>130 p.;20 cm</v>
      </c>
      <c r="G420" s="1"/>
    </row>
    <row r="421" spans="1:7" x14ac:dyDescent="0.3">
      <c r="A421" s="1" t="str">
        <f>"종합자료실"</f>
        <v>종합자료실</v>
      </c>
      <c r="B421" s="1" t="str">
        <f>"813.6-김586ㅁ-2023"</f>
        <v>813.6-김586ㅁ-2023</v>
      </c>
      <c r="C421" s="1" t="str">
        <f>"(2023) 김승옥문학상 수상작품집. 2023"</f>
        <v>(2023) 김승옥문학상 수상작품집. 2023</v>
      </c>
      <c r="D421" s="1" t="str">
        <f>"권여선,최진영,서유미,최은미,구병모,손보미,백수린 지음"</f>
        <v>권여선,최진영,서유미,최은미,구병모,손보미,백수린 지음</v>
      </c>
      <c r="E421" s="1" t="str">
        <f>"문학동네"</f>
        <v>문학동네</v>
      </c>
      <c r="F421" s="1" t="str">
        <f>"310 p.;20 cm"</f>
        <v>310 p.;20 cm</v>
      </c>
      <c r="G421" s="1"/>
    </row>
    <row r="422" spans="1:7" x14ac:dyDescent="0.3">
      <c r="A422" s="1" t="str">
        <f>"종합자료실"</f>
        <v>종합자료실</v>
      </c>
      <c r="B422" s="1" t="str">
        <f>"321.5-뇌238ㄱ=3"</f>
        <v>321.5-뇌238ㄱ=3</v>
      </c>
      <c r="C422" s="1" t="str">
        <f>"가짜 노동  : 스스로 만드는 번아웃의 세계"</f>
        <v>가짜 노동  : 스스로 만드는 번아웃의 세계</v>
      </c>
      <c r="D422" s="1" t="str">
        <f>"데니스 뇌르마르크,아네르스 포그 옌센 [공]지음;이수영 옮김"</f>
        <v>데니스 뇌르마르크,아네르스 포그 옌센 [공]지음;이수영 옮김</v>
      </c>
      <c r="E422" s="1" t="str">
        <f>"자음과모음"</f>
        <v>자음과모음</v>
      </c>
      <c r="F422" s="1" t="str">
        <f>"411 p.:도표;22 cm"</f>
        <v>411 p.:도표;22 cm</v>
      </c>
      <c r="G422" s="1"/>
    </row>
    <row r="423" spans="1:7" x14ac:dyDescent="0.3">
      <c r="A423" s="1" t="str">
        <f>"종합자료실"</f>
        <v>종합자료실</v>
      </c>
      <c r="B423" s="1" t="str">
        <f>"470.1-윤822ㅈ"</f>
        <v>470.1-윤822ㅈ</v>
      </c>
      <c r="C423" s="1" t="str">
        <f>"자연에 이름 붙이기 : 보이지 않던 세계가 보이기 시작할 때"</f>
        <v>자연에 이름 붙이기 : 보이지 않던 세계가 보이기 시작할 때</v>
      </c>
      <c r="D423" s="1" t="str">
        <f>"캐럴 계숙 윤 지음;정지인 옮김"</f>
        <v>캐럴 계숙 윤 지음;정지인 옮김</v>
      </c>
      <c r="E423" s="1" t="str">
        <f>"윌북"</f>
        <v>윌북</v>
      </c>
      <c r="F423" s="1" t="str">
        <f>"440 p.;22 cm"</f>
        <v>440 p.;22 cm</v>
      </c>
      <c r="G423" s="1"/>
    </row>
    <row r="424" spans="1:7" x14ac:dyDescent="0.3">
      <c r="A424" s="1" t="str">
        <f>"종합자료실"</f>
        <v>종합자료실</v>
      </c>
      <c r="B424" s="1" t="str">
        <f>"813.6-최67215ㄷ"</f>
        <v>813.6-최67215ㄷ</v>
      </c>
      <c r="C424" s="1" t="str">
        <f>"달의 아이  : 최윤석 장편소설"</f>
        <v>달의 아이  : 최윤석 장편소설</v>
      </c>
      <c r="D424" s="1" t="str">
        <f>"최윤석 지음"</f>
        <v>최윤석 지음</v>
      </c>
      <c r="E424" s="1" t="str">
        <f>"포레스트북스 :콘텐츠그룹 포레스트"</f>
        <v>포레스트북스 :콘텐츠그룹 포레스트</v>
      </c>
      <c r="F424" s="1" t="str">
        <f>"407 p.;19 cm"</f>
        <v>407 p.;19 cm</v>
      </c>
      <c r="G424" s="1"/>
    </row>
    <row r="425" spans="1:7" x14ac:dyDescent="0.3">
      <c r="A425" s="1" t="str">
        <f>"종합자료실"</f>
        <v>종합자료실</v>
      </c>
      <c r="B425" s="1" t="str">
        <f>"813.6-김53213ㅂ"</f>
        <v>813.6-김53213ㅂ</v>
      </c>
      <c r="C425" s="1" t="str">
        <f>"비스킷"</f>
        <v>비스킷</v>
      </c>
      <c r="D425" s="1" t="str">
        <f>"김선미 글"</f>
        <v>김선미 글</v>
      </c>
      <c r="E425" s="1" t="str">
        <f>"위즈덤하우스"</f>
        <v>위즈덤하우스</v>
      </c>
      <c r="F425" s="1" t="str">
        <f>"227 p.;22 cm"</f>
        <v>227 p.;22 cm</v>
      </c>
      <c r="G425" s="1"/>
    </row>
    <row r="426" spans="1:7" x14ac:dyDescent="0.3">
      <c r="A426" s="1" t="str">
        <f>"종합자료실"</f>
        <v>종합자료실</v>
      </c>
      <c r="B426" s="1" t="str">
        <f>"100-한44ㅅ"</f>
        <v>100-한44ㅅ</v>
      </c>
      <c r="C426" s="1" t="str">
        <f>"서사의 위기"</f>
        <v>서사의 위기</v>
      </c>
      <c r="D426" s="1" t="str">
        <f>"한병철 지음;최지수 옮김"</f>
        <v>한병철 지음;최지수 옮김</v>
      </c>
      <c r="E426" s="1" t="str">
        <f>"다산초당:다산북스"</f>
        <v>다산초당:다산북스</v>
      </c>
      <c r="F426" s="1" t="str">
        <f>"144 p.;20 cm"</f>
        <v>144 p.;20 cm</v>
      </c>
      <c r="G426" s="1"/>
    </row>
    <row r="427" spans="1:7" x14ac:dyDescent="0.3">
      <c r="A427" s="1" t="str">
        <f>"종합자료실"</f>
        <v>종합자료실</v>
      </c>
      <c r="B427" s="1" t="str">
        <f>"325.099-아69ㅇ"</f>
        <v>325.099-아69ㅇ</v>
      </c>
      <c r="C427" s="1" t="str">
        <f>"일론 머스크  = Elon Musk"</f>
        <v>일론 머스크  = Elon Musk</v>
      </c>
      <c r="D427" s="1" t="str">
        <f>"월터 아이작슨 지음;안진환 옮김"</f>
        <v>월터 아이작슨 지음;안진환 옮김</v>
      </c>
      <c r="E427" s="1" t="str">
        <f>"21세기북스"</f>
        <v>21세기북스</v>
      </c>
      <c r="F427" s="1" t="str">
        <f>"760 p.;23 cm"</f>
        <v>760 p.;23 cm</v>
      </c>
      <c r="G427" s="1"/>
    </row>
    <row r="428" spans="1:7" x14ac:dyDescent="0.3">
      <c r="A428" s="1" t="str">
        <f>"종합자료실"</f>
        <v>종합자료실</v>
      </c>
      <c r="B428" s="1" t="str">
        <f>"818-조39ㅇ"</f>
        <v>818-조39ㅇ</v>
      </c>
      <c r="C428" s="1" t="str">
        <f>"오늘도 나아가는 중입니다"</f>
        <v>오늘도 나아가는 중입니다</v>
      </c>
      <c r="D428" s="1" t="str">
        <f>"조민 지음"</f>
        <v>조민 지음</v>
      </c>
      <c r="E428" s="1" t="str">
        <f>"참새책방"</f>
        <v>참새책방</v>
      </c>
      <c r="F428" s="1" t="str">
        <f>"256 p.:삽화;19 cm"</f>
        <v>256 p.:삽화;19 cm</v>
      </c>
      <c r="G428" s="1"/>
    </row>
    <row r="429" spans="1:7" x14ac:dyDescent="0.3">
      <c r="A429" s="1" t="str">
        <f>"종합자료실"</f>
        <v>종합자료실</v>
      </c>
      <c r="B429" s="1" t="str">
        <f>"340.4-조17ㄷ"</f>
        <v>340.4-조17ㄷ</v>
      </c>
      <c r="C429" s="1" t="str">
        <f>"디케의 눈물  : 대한검국에 맞선 조국의 호소"</f>
        <v>디케의 눈물  : 대한검국에 맞선 조국의 호소</v>
      </c>
      <c r="D429" s="1" t="str">
        <f>"조국 지음"</f>
        <v>조국 지음</v>
      </c>
      <c r="E429" s="1" t="str">
        <f>"다산북스"</f>
        <v>다산북스</v>
      </c>
      <c r="F429" s="1" t="str">
        <f>"335 p.:삽화, 초상;21 cm"</f>
        <v>335 p.:삽화, 초상;21 cm</v>
      </c>
      <c r="G429" s="1"/>
    </row>
    <row r="430" spans="1:7" x14ac:dyDescent="0.3">
      <c r="A430" s="1" t="str">
        <f>"종합자료실"</f>
        <v>종합자료실</v>
      </c>
      <c r="B430" s="1" t="str">
        <f>"808.9-세14ㅁ-431"</f>
        <v>808.9-세14ㅁ-431</v>
      </c>
      <c r="C430" s="1" t="str">
        <f>"멜랑콜리아 I-II"</f>
        <v>멜랑콜리아 I-II</v>
      </c>
      <c r="D430" s="1" t="str">
        <f>"욘 포세 지음;손화수 옮김"</f>
        <v>욘 포세 지음;손화수 옮김</v>
      </c>
      <c r="E430" s="1" t="str">
        <f>"민음사"</f>
        <v>민음사</v>
      </c>
      <c r="F430" s="1" t="str">
        <f>"540 p.;23 cm"</f>
        <v>540 p.;23 cm</v>
      </c>
      <c r="G430" s="1"/>
    </row>
    <row r="431" spans="1:7" x14ac:dyDescent="0.3">
      <c r="A431" s="1" t="str">
        <f>"종합자료실"</f>
        <v>종합자료실</v>
      </c>
      <c r="B431" s="1" t="str">
        <f>"895.82-포53ㅅ"</f>
        <v>895.82-포53ㅅ</v>
      </c>
      <c r="C431" s="1" t="str">
        <f>"3부작  : 욘 포세 연작소설"</f>
        <v>3부작  : 욘 포세 연작소설</v>
      </c>
      <c r="D431" s="1" t="str">
        <f>"욘 포세 지음;홍재웅 옮김"</f>
        <v>욘 포세 지음;홍재웅 옮김</v>
      </c>
      <c r="E431" s="1" t="str">
        <f>"새움"</f>
        <v>새움</v>
      </c>
      <c r="F431" s="1" t="str">
        <f>"272 p.;20 cm"</f>
        <v>272 p.;20 cm</v>
      </c>
      <c r="G431" s="1"/>
    </row>
    <row r="432" spans="1:7" x14ac:dyDescent="0.3">
      <c r="A432" s="1" t="str">
        <f>"종합자료실"</f>
        <v>종합자료실</v>
      </c>
      <c r="B432" s="1" t="str">
        <f>"813.6-최7921ㄷ"</f>
        <v>813.6-최7921ㄷ</v>
      </c>
      <c r="C432" s="1" t="str">
        <f>"단 한 사람"</f>
        <v>단 한 사람</v>
      </c>
      <c r="D432" s="1" t="str">
        <f>"최진영 지음"</f>
        <v>최진영 지음</v>
      </c>
      <c r="E432" s="1" t="str">
        <f>"한겨레출판사"</f>
        <v>한겨레출판사</v>
      </c>
      <c r="F432" s="1" t="str">
        <f>"255 p.;19 cm"</f>
        <v>255 p.;19 cm</v>
      </c>
      <c r="G432" s="1"/>
    </row>
    <row r="433" spans="1:7" x14ac:dyDescent="0.3">
      <c r="A433" s="1" t="str">
        <f>"종합자료실"</f>
        <v>종합자료실</v>
      </c>
      <c r="B433" s="1" t="str">
        <f>"909-임55ㅊ"</f>
        <v>909-임55ㅊ</v>
      </c>
      <c r="C433" s="1" t="str">
        <f>"(요즘 어른을 위한)최소한의 세계사"</f>
        <v>(요즘 어른을 위한)최소한의 세계사</v>
      </c>
      <c r="D433" s="1" t="str">
        <f>"임소미 지음"</f>
        <v>임소미 지음</v>
      </c>
      <c r="E433" s="1" t="str">
        <f>"빅피시"</f>
        <v>빅피시</v>
      </c>
      <c r="F433" s="1" t="str">
        <f>"347 p.:삽화;22 cm"</f>
        <v>347 p.:삽화;22 cm</v>
      </c>
      <c r="G433" s="1"/>
    </row>
    <row r="434" spans="1:7" x14ac:dyDescent="0.3">
      <c r="A434" s="1" t="str">
        <f>"종합자료실"</f>
        <v>종합자료실</v>
      </c>
      <c r="B434" s="1" t="str">
        <f>"859.82-포53ㅇ"</f>
        <v>859.82-포53ㅇ</v>
      </c>
      <c r="C434" s="1" t="str">
        <f>"아침 그리고 저녁 : 욘 포세 장편소설"</f>
        <v>아침 그리고 저녁 : 욘 포세 장편소설</v>
      </c>
      <c r="D434" s="1" t="str">
        <f>"욘 포세 지음;박경희 옮김"</f>
        <v>욘 포세 지음;박경희 옮김</v>
      </c>
      <c r="E434" s="1" t="str">
        <f>"문학동네"</f>
        <v>문학동네</v>
      </c>
      <c r="F434" s="1" t="str">
        <f>"151 p.;20 cm"</f>
        <v>151 p.;20 cm</v>
      </c>
      <c r="G434" s="1"/>
    </row>
    <row r="435" spans="1:7" x14ac:dyDescent="0.3">
      <c r="A435" s="1" t="str">
        <f>"종합자료실"</f>
        <v>종합자료실</v>
      </c>
      <c r="B435" s="1" t="str">
        <f>"331.54-송19ㅅ"</f>
        <v>331.54-송19ㅅ</v>
      </c>
      <c r="C435" s="1" t="str">
        <f>"시대예보  : 핵개인의 시대"</f>
        <v>시대예보  : 핵개인의 시대</v>
      </c>
      <c r="D435" s="1" t="str">
        <f>"송길영 지음"</f>
        <v>송길영 지음</v>
      </c>
      <c r="E435" s="1" t="str">
        <f>"교보문고"</f>
        <v>교보문고</v>
      </c>
      <c r="F435" s="1" t="str">
        <f>"340 p.;19 cm"</f>
        <v>340 p.;19 cm</v>
      </c>
      <c r="G435" s="1"/>
    </row>
    <row r="436" spans="1:7" x14ac:dyDescent="0.3">
      <c r="A436" s="1" t="str">
        <f>"종합자료실"</f>
        <v>종합자료실</v>
      </c>
      <c r="B436" s="1" t="str">
        <f>"833.6-무23도"</f>
        <v>833.6-무23도</v>
      </c>
      <c r="C436" s="1" t="str">
        <f>"도시와 그 불확실한 벽  : 무라카미 하루키 장편소설"</f>
        <v>도시와 그 불확실한 벽  : 무라카미 하루키 장편소설</v>
      </c>
      <c r="D436" s="1" t="str">
        <f>"무라카미 하루키 지음;홍은주 옮김"</f>
        <v>무라카미 하루키 지음;홍은주 옮김</v>
      </c>
      <c r="E436" s="1" t="str">
        <f>"문학동네"</f>
        <v>문학동네</v>
      </c>
      <c r="F436" s="1" t="str">
        <f>"767 p.;20 cm"</f>
        <v>767 p.;20 cm</v>
      </c>
      <c r="G436" s="1"/>
    </row>
    <row r="437" spans="1:7" x14ac:dyDescent="0.3">
      <c r="A437" s="1" t="str">
        <f>"종합자료실"</f>
        <v>종합자료실</v>
      </c>
      <c r="B437" s="1" t="str">
        <f>"325.211-하229ㅍ"</f>
        <v>325.211-하229ㅍ</v>
      </c>
      <c r="C437" s="1" t="str">
        <f>"퓨처 셀프  : 현재와 미래가 달라지는 놀라운 혁명"</f>
        <v>퓨처 셀프  : 현재와 미래가 달라지는 놀라운 혁명</v>
      </c>
      <c r="D437" s="1" t="str">
        <f>"벤저민 하디 지음;최은아 옮김"</f>
        <v>벤저민 하디 지음;최은아 옮김</v>
      </c>
      <c r="E437" s="1" t="str">
        <f>"상상스퀘어"</f>
        <v>상상스퀘어</v>
      </c>
      <c r="F437" s="1" t="str">
        <f>"291 p.:삽화;21 cm"</f>
        <v>291 p.:삽화;21 cm</v>
      </c>
      <c r="G437" s="1"/>
    </row>
    <row r="438" spans="1:7" x14ac:dyDescent="0.3">
      <c r="A438" s="1" t="str">
        <f>"종합자료실"</f>
        <v>종합자료실</v>
      </c>
      <c r="B438" s="1" t="str">
        <f>"331-최67ㄱ"</f>
        <v>331-최67ㄱ</v>
      </c>
      <c r="C438" s="1" t="str">
        <f>"(인권으로 살펴본) 기후 위기 이야기"</f>
        <v>(인권으로 살펴본) 기후 위기 이야기</v>
      </c>
      <c r="D438" s="1" t="str">
        <f>"최우리,조천호,한재각,김해동,지현영,김현우 글"</f>
        <v>최우리,조천호,한재각,김해동,지현영,김현우 글</v>
      </c>
      <c r="E438" s="1" t="str">
        <f>"철수와영희"</f>
        <v>철수와영희</v>
      </c>
      <c r="F438" s="1" t="str">
        <f>"206 p.:천연색삽화;21 cm"</f>
        <v>206 p.:천연색삽화;21 cm</v>
      </c>
      <c r="G438" s="1"/>
    </row>
    <row r="439" spans="1:7" x14ac:dyDescent="0.3">
      <c r="A439" s="1" t="str">
        <f>"종합자료실"</f>
        <v>종합자료실</v>
      </c>
      <c r="B439" s="1" t="str">
        <f>"331-정67ㅎ"</f>
        <v>331-정67ㅎ</v>
      </c>
      <c r="C439" s="1" t="str">
        <f>"함께라면"</f>
        <v>함께라면</v>
      </c>
      <c r="D439" s="1" t="str">
        <f>"정윤선 지음;김규택 그림"</f>
        <v>정윤선 지음;김규택 그림</v>
      </c>
      <c r="E439" s="1" t="str">
        <f>"봄볕"</f>
        <v>봄볕</v>
      </c>
      <c r="F439" s="1" t="str">
        <f>"101 p.:천연색삽화;23 cm"</f>
        <v>101 p.:천연색삽화;23 cm</v>
      </c>
      <c r="G439" s="1"/>
    </row>
    <row r="440" spans="1:7" x14ac:dyDescent="0.3">
      <c r="A440" s="1" t="str">
        <f>"종합자료실"</f>
        <v>종합자료실</v>
      </c>
      <c r="B440" s="1" t="str">
        <f>"813.8-허73ㅅ"</f>
        <v>813.8-허73ㅅ</v>
      </c>
      <c r="C440" s="1" t="str">
        <f>"손을 내밀었다 [그림책]"</f>
        <v>손을 내밀었다 [그림책]</v>
      </c>
      <c r="D440" s="1" t="str">
        <f>"허정윤 글;조원희 그림"</f>
        <v>허정윤 글;조원희 그림</v>
      </c>
      <c r="E440" s="1" t="str">
        <f>"한솔수북"</f>
        <v>한솔수북</v>
      </c>
      <c r="F440" s="1" t="str">
        <f>"[44] p.:천연색삽화;28 cm"</f>
        <v>[44] p.:천연색삽화;28 cm</v>
      </c>
      <c r="G440" s="1"/>
    </row>
    <row r="441" spans="1:7" x14ac:dyDescent="0.3">
      <c r="A441" s="1" t="str">
        <f>"종합자료실"</f>
        <v>종합자료실</v>
      </c>
      <c r="B441" s="1" t="str">
        <f>"813.6-박795ㅎ"</f>
        <v>813.6-박795ㅎ</v>
      </c>
      <c r="C441" s="1" t="str">
        <f>"합★체 : 박지리 장편소설"</f>
        <v>합★체 : 박지리 장편소설</v>
      </c>
      <c r="D441" s="1" t="str">
        <f>"박지리 지음"</f>
        <v>박지리 지음</v>
      </c>
      <c r="E441" s="1" t="str">
        <f>"사계절"</f>
        <v>사계절</v>
      </c>
      <c r="F441" s="1" t="str">
        <f>"275 p.;20 cm"</f>
        <v>275 p.;20 cm</v>
      </c>
      <c r="G441" s="1"/>
    </row>
    <row r="442" spans="1:7" x14ac:dyDescent="0.3">
      <c r="A442" s="1" t="str">
        <f>"종합자료실"</f>
        <v>종합자료실</v>
      </c>
      <c r="B442" s="1" t="str">
        <f>"818-김776ㅈ"</f>
        <v>818-김776ㅈ</v>
      </c>
      <c r="C442" s="1" t="str">
        <f>"잘 그리지도 못하면서"</f>
        <v>잘 그리지도 못하면서</v>
      </c>
      <c r="D442" s="1" t="str">
        <f>"김중석 지음"</f>
        <v>김중석 지음</v>
      </c>
      <c r="E442" s="1" t="str">
        <f>"웃는돌고래:이후"</f>
        <v>웃는돌고래:이후</v>
      </c>
      <c r="F442" s="1" t="str">
        <f>"199 p:삽화;19 cm"</f>
        <v>199 p:삽화;19 cm</v>
      </c>
      <c r="G442" s="1"/>
    </row>
    <row r="443" spans="1:7" x14ac:dyDescent="0.3">
      <c r="A443" s="1" t="str">
        <f>"종합자료실"</f>
        <v>종합자료실</v>
      </c>
      <c r="B443" s="1" t="str">
        <f>"813.5-서73ㅇ"</f>
        <v>813.5-서73ㅇ</v>
      </c>
      <c r="C443" s="1" t="str">
        <f>"운영전"</f>
        <v>운영전</v>
      </c>
      <c r="D443" s="1" t="str">
        <f>"서정오 글;이수진 그림"</f>
        <v>서정오 글;이수진 그림</v>
      </c>
      <c r="E443" s="1" t="str">
        <f>"보리"</f>
        <v>보리</v>
      </c>
      <c r="F443" s="1" t="str">
        <f>"112 p.:천연색삽화;23 cm"</f>
        <v>112 p.:천연색삽화;23 cm</v>
      </c>
      <c r="G443" s="1"/>
    </row>
    <row r="444" spans="1:7" x14ac:dyDescent="0.3">
      <c r="A444" s="1" t="str">
        <f>"종합자료실"</f>
        <v>종합자료실</v>
      </c>
      <c r="B444" s="1" t="str">
        <f>"813.5-김59금Pㅅ"</f>
        <v>813.5-김59금Pㅅ</v>
      </c>
      <c r="C444" s="1" t="str">
        <f>"(청소년을 위한)금오신화"</f>
        <v>(청소년을 위한)금오신화</v>
      </c>
      <c r="D444" s="1" t="str">
        <f>"[김시습 지음]; 이가원,허경진 옮김;김영희 해설;이로우 그림"</f>
        <v>[김시습 지음]; 이가원,허경진 옮김;김영희 해설;이로우 그림</v>
      </c>
      <c r="E444" s="1" t="str">
        <f>"서해문집"</f>
        <v>서해문집</v>
      </c>
      <c r="F444" s="1" t="str">
        <f>"168 p.:삽화;21 cm"</f>
        <v>168 p.:삽화;21 cm</v>
      </c>
      <c r="G444" s="1"/>
    </row>
    <row r="445" spans="1:7" x14ac:dyDescent="0.3">
      <c r="A445" s="1" t="str">
        <f>"종합자료실"</f>
        <v>종합자료실</v>
      </c>
      <c r="B445" s="1" t="str">
        <f>"811.6-이686ㅇ"</f>
        <v>811.6-이686ㅇ</v>
      </c>
      <c r="C445" s="1" t="str">
        <f>"은행잎 편지와 밤비 라디오  : 이응인 시집"</f>
        <v>은행잎 편지와 밤비 라디오  : 이응인 시집</v>
      </c>
      <c r="D445" s="1" t="str">
        <f>"이응인 지음"</f>
        <v>이응인 지음</v>
      </c>
      <c r="E445" s="1" t="str">
        <f>"단비"</f>
        <v>단비</v>
      </c>
      <c r="F445" s="1" t="str">
        <f>"109 p.;20 cm"</f>
        <v>109 p.;20 cm</v>
      </c>
      <c r="G445" s="1"/>
    </row>
    <row r="446" spans="1:7" x14ac:dyDescent="0.3">
      <c r="A446" s="1" t="str">
        <f>"종합자료실"</f>
        <v>종합자료실</v>
      </c>
      <c r="B446" s="1" t="str">
        <f>"811.6-김94215ㅅ"</f>
        <v>811.6-김94215ㅅ</v>
      </c>
      <c r="C446" s="1" t="str">
        <f>"숨겨 둔 말  : 김현서 시집"</f>
        <v>숨겨 둔 말  : 김현서 시집</v>
      </c>
      <c r="D446" s="1" t="str">
        <f>"김현서 지음"</f>
        <v>김현서 지음</v>
      </c>
      <c r="E446" s="1" t="str">
        <f>"창비 :창비교육"</f>
        <v>창비 :창비교육</v>
      </c>
      <c r="F446" s="1" t="str">
        <f>"109 p.;21 cm"</f>
        <v>109 p.;21 cm</v>
      </c>
      <c r="G446" s="1"/>
    </row>
    <row r="447" spans="1:7" x14ac:dyDescent="0.3">
      <c r="A447" s="1" t="str">
        <f>"종합자료실"</f>
        <v>종합자료실</v>
      </c>
      <c r="B447" s="1" t="str">
        <f>"811.6-남955ㅇ"</f>
        <v>811.6-남955ㅇ</v>
      </c>
      <c r="C447" s="1" t="str">
        <f>"이제 호랑이가 온다  : 남호섭 시집"</f>
        <v>이제 호랑이가 온다  : 남호섭 시집</v>
      </c>
      <c r="D447" s="1" t="str">
        <f>"남호섭 지음"</f>
        <v>남호섭 지음</v>
      </c>
      <c r="E447" s="1" t="str">
        <f>"창비 :창비교육"</f>
        <v>창비 :창비교육</v>
      </c>
      <c r="F447" s="1" t="str">
        <f>"115 p.;21 cm"</f>
        <v>115 p.;21 cm</v>
      </c>
      <c r="G447" s="1"/>
    </row>
    <row r="448" spans="1:7" x14ac:dyDescent="0.3">
      <c r="A448" s="1" t="str">
        <f>"종합자료실"</f>
        <v>종합자료실</v>
      </c>
      <c r="B448" s="1" t="str">
        <f>"598.55-브235ㅇ"</f>
        <v>598.55-브235ㅇ</v>
      </c>
      <c r="C448" s="1" t="str">
        <f>"여자 사전 : 여자도 몰랐던 내 몸 이야기"</f>
        <v>여자 사전 : 여자도 몰랐던 내 몸 이야기</v>
      </c>
      <c r="D448" s="1" t="str">
        <f>"니나 브로크만,엘렌 스퇴켄 달 [공]지음;매그힐 위네스 그림;신소희 옮김"</f>
        <v>니나 브로크만,엘렌 스퇴켄 달 [공]지음;매그힐 위네스 그림;신소희 옮김</v>
      </c>
      <c r="E448" s="1" t="str">
        <f>"초록서재"</f>
        <v>초록서재</v>
      </c>
      <c r="F448" s="1" t="str">
        <f>"267 p.:천연색삽화;22 cm"</f>
        <v>267 p.:천연색삽화;22 cm</v>
      </c>
      <c r="G448" s="1"/>
    </row>
    <row r="449" spans="1:7" x14ac:dyDescent="0.3">
      <c r="A449" s="1" t="str">
        <f>"종합자료실"</f>
        <v>종합자료실</v>
      </c>
      <c r="B449" s="1" t="str">
        <f>"808.9-세14ㅁ-421"</f>
        <v>808.9-세14ㅁ-421</v>
      </c>
      <c r="C449" s="1" t="str">
        <f>"빅 서"</f>
        <v>빅 서</v>
      </c>
      <c r="D449" s="1" t="str">
        <f>"잭 케루악 지음;김재성 옮김"</f>
        <v>잭 케루악 지음;김재성 옮김</v>
      </c>
      <c r="E449" s="1" t="str">
        <f>"민음사"</f>
        <v>민음사</v>
      </c>
      <c r="F449" s="1" t="str">
        <f>"299 p.;22 cm"</f>
        <v>299 p.;22 cm</v>
      </c>
      <c r="G449" s="1"/>
    </row>
    <row r="450" spans="1:7" x14ac:dyDescent="0.3">
      <c r="A450" s="1" t="str">
        <f>"종합자료실"</f>
        <v>종합자료실</v>
      </c>
      <c r="B450" s="1" t="str">
        <f>"808.9-세14ㅁ-422"</f>
        <v>808.9-세14ㅁ-422</v>
      </c>
      <c r="C450" s="1" t="str">
        <f>"코뿔소"</f>
        <v>코뿔소</v>
      </c>
      <c r="D450" s="1" t="str">
        <f>"외젠 이오네스코 지음;박형섭 옮김"</f>
        <v>외젠 이오네스코 지음;박형섭 옮김</v>
      </c>
      <c r="E450" s="1" t="str">
        <f>"민음사"</f>
        <v>민음사</v>
      </c>
      <c r="F450" s="1" t="str">
        <f>"209 p.;23 cm"</f>
        <v>209 p.;23 cm</v>
      </c>
      <c r="G450" s="1"/>
    </row>
    <row r="451" spans="1:7" x14ac:dyDescent="0.3">
      <c r="A451" s="1" t="str">
        <f>"종합자료실"</f>
        <v>종합자료실</v>
      </c>
      <c r="B451" s="1" t="str">
        <f>"808.9-세14ㅁ-423"</f>
        <v>808.9-세14ㅁ-423</v>
      </c>
      <c r="C451" s="1" t="str">
        <f>"블랙박스  = Black box"</f>
        <v>블랙박스  = Black box</v>
      </c>
      <c r="D451" s="1" t="str">
        <f>"아모스 오즈 지음;윤성덕,김영화 옮김"</f>
        <v>아모스 오즈 지음;윤성덕,김영화 옮김</v>
      </c>
      <c r="E451" s="1" t="str">
        <f>"민음사"</f>
        <v>민음사</v>
      </c>
      <c r="F451" s="1" t="str">
        <f>"461 p.;23 cm"</f>
        <v>461 p.;23 cm</v>
      </c>
      <c r="G451" s="1"/>
    </row>
    <row r="452" spans="1:7" x14ac:dyDescent="0.3">
      <c r="A452" s="1" t="str">
        <f>"종합자료실"</f>
        <v>종합자료실</v>
      </c>
      <c r="B452" s="1" t="str">
        <f>"808.9-세14ㅁ-418"</f>
        <v>808.9-세14ㅁ-418</v>
      </c>
      <c r="C452" s="1" t="str">
        <f>"명인"</f>
        <v>명인</v>
      </c>
      <c r="D452" s="1" t="str">
        <f>"가와바타 야스나리 지음;유숙자 옮김"</f>
        <v>가와바타 야스나리 지음;유숙자 옮김</v>
      </c>
      <c r="E452" s="1" t="str">
        <f>"민음사"</f>
        <v>민음사</v>
      </c>
      <c r="F452" s="1" t="str">
        <f>"176 p.;23 cm"</f>
        <v>176 p.;23 cm</v>
      </c>
      <c r="G452" s="1"/>
    </row>
    <row r="453" spans="1:7" x14ac:dyDescent="0.3">
      <c r="A453" s="1" t="str">
        <f>"종합자료실"</f>
        <v>종합자료실</v>
      </c>
      <c r="B453" s="1" t="str">
        <f>"808.9-세14ㅁ-420"</f>
        <v>808.9-세14ㅁ-420</v>
      </c>
      <c r="C453" s="1" t="str">
        <f>"사라진·샤베르 대령"</f>
        <v>사라진·샤베르 대령</v>
      </c>
      <c r="D453" s="1" t="str">
        <f>"오노레 드 발자크 지음;선영아 옮김"</f>
        <v>오노레 드 발자크 지음;선영아 옮김</v>
      </c>
      <c r="E453" s="1" t="str">
        <f>"민음사"</f>
        <v>민음사</v>
      </c>
      <c r="F453" s="1" t="str">
        <f>"203 p.:연보;23 cm"</f>
        <v>203 p.:연보;23 cm</v>
      </c>
      <c r="G453" s="1"/>
    </row>
    <row r="454" spans="1:7" x14ac:dyDescent="0.3">
      <c r="A454" s="1" t="str">
        <f>"종합자료실"</f>
        <v>종합자료실</v>
      </c>
      <c r="B454" s="1" t="str">
        <f>"813.6-최515ㅅ"</f>
        <v>813.6-최515ㅅ</v>
      </c>
      <c r="C454" s="1" t="str">
        <f>"속눈썹, 혹은 잃어버린 잠을 찾는 방법 : 최상희 소설"</f>
        <v>속눈썹, 혹은 잃어버린 잠을 찾는 방법 : 최상희 소설</v>
      </c>
      <c r="D454" s="1" t="str">
        <f>"최상희 지음"</f>
        <v>최상희 지음</v>
      </c>
      <c r="E454" s="1" t="str">
        <f>"돌베개"</f>
        <v>돌베개</v>
      </c>
      <c r="F454" s="1" t="str">
        <f>"207 p.;21 cm"</f>
        <v>207 p.;21 cm</v>
      </c>
      <c r="G454" s="1"/>
    </row>
    <row r="455" spans="1:7" x14ac:dyDescent="0.3">
      <c r="A455" s="1" t="str">
        <f>"종합자료실"</f>
        <v>종합자료실</v>
      </c>
      <c r="B455" s="1" t="str">
        <f>"859.82-포53ㅈ"</f>
        <v>859.82-포53ㅈ</v>
      </c>
      <c r="C455" s="1" t="str">
        <f>"저 사람은 알레스"</f>
        <v>저 사람은 알레스</v>
      </c>
      <c r="D455" s="1" t="str">
        <f>"욘 포세 지음;정민영 옮김"</f>
        <v>욘 포세 지음;정민영 옮김</v>
      </c>
      <c r="E455" s="1" t="str">
        <f>"지식을만드는지식(지만지)"</f>
        <v>지식을만드는지식(지만지)</v>
      </c>
      <c r="F455" s="1" t="str">
        <f>"122 p.;19 cm"</f>
        <v>122 p.;19 cm</v>
      </c>
      <c r="G455" s="1"/>
    </row>
    <row r="456" spans="1:7" x14ac:dyDescent="0.3">
      <c r="A456" s="1" t="str">
        <f>"종합자료실"</f>
        <v>종합자료실</v>
      </c>
      <c r="B456" s="1" t="str">
        <f>"895.82-포53ㅂ"</f>
        <v>895.82-포53ㅂ</v>
      </c>
      <c r="C456" s="1" t="str">
        <f>"보트하우스  : 욘 포세 장편소설"</f>
        <v>보트하우스  : 욘 포세 장편소설</v>
      </c>
      <c r="D456" s="1" t="str">
        <f>"욘 포세 지음;홍재웅 옮김"</f>
        <v>욘 포세 지음;홍재웅 옮김</v>
      </c>
      <c r="E456" s="1" t="str">
        <f>"새움"</f>
        <v>새움</v>
      </c>
      <c r="F456" s="1" t="str">
        <f>"216 p.;20 cm"</f>
        <v>216 p.;20 cm</v>
      </c>
      <c r="G456" s="1"/>
    </row>
    <row r="457" spans="1:7" x14ac:dyDescent="0.3">
      <c r="A457" s="1" t="str">
        <f>"종합자료실"</f>
        <v>종합자료실</v>
      </c>
      <c r="B457" s="1" t="str">
        <f>"895.82-포53ㄱ"</f>
        <v>895.82-포53ㄱ</v>
      </c>
      <c r="C457" s="1" t="str">
        <f>"가을날의 꿈 외"</f>
        <v>가을날의 꿈 외</v>
      </c>
      <c r="D457" s="1" t="str">
        <f>"욘 포세 지음;정민영 옮김"</f>
        <v>욘 포세 지음;정민영 옮김</v>
      </c>
      <c r="E457" s="1" t="str">
        <f>"지만지드라마"</f>
        <v>지만지드라마</v>
      </c>
      <c r="F457" s="1" t="str">
        <f>"415 p.;19 cm"</f>
        <v>415 p.;19 cm</v>
      </c>
      <c r="G457" s="1"/>
    </row>
    <row r="458" spans="1:7" x14ac:dyDescent="0.3">
      <c r="A458" s="1" t="str">
        <f>"종합자료실"</f>
        <v>종합자료실</v>
      </c>
      <c r="B458" s="1" t="str">
        <f>"843-카237ㅁ"</f>
        <v>843-카237ㅁ</v>
      </c>
      <c r="C458" s="1" t="str">
        <f>"말리의 일곱 개의 달  : 셰한 카루나틸라카 장편소설"</f>
        <v>말리의 일곱 개의 달  : 셰한 카루나틸라카 장편소설</v>
      </c>
      <c r="D458" s="1" t="str">
        <f>"셰한 카루나틸라카 지음;유소영 옮김"</f>
        <v>셰한 카루나틸라카 지음;유소영 옮김</v>
      </c>
      <c r="E458" s="1" t="str">
        <f>"인플루엔셜"</f>
        <v>인플루엔셜</v>
      </c>
      <c r="F458" s="1" t="str">
        <f>"547 p.:삽화;21 cm"</f>
        <v>547 p.:삽화;21 cm</v>
      </c>
      <c r="G458" s="1"/>
    </row>
    <row r="459" spans="1:7" x14ac:dyDescent="0.3">
      <c r="A459" s="1" t="str">
        <f>"종합자료실"</f>
        <v>종합자료실</v>
      </c>
      <c r="B459" s="1" t="str">
        <f>"813.6-문695ㅌ"</f>
        <v>813.6-문695ㅌ</v>
      </c>
      <c r="C459" s="1" t="str">
        <f>"태초에 외계인이 지구를 평평하게 창조하였으니  : SF 작가들의 유사과학 앤솔러지"</f>
        <v>태초에 외계인이 지구를 평평하게 창조하였으니  : SF 작가들의 유사과학 앤솔러지</v>
      </c>
      <c r="D459" s="1" t="str">
        <f>"문이소,손지상,정보라,이산화,이주형,이하진,전혜진,최의택,홍준영,홍지운 지음"</f>
        <v>문이소,손지상,정보라,이산화,이주형,이하진,전혜진,최의택,홍준영,홍지운 지음</v>
      </c>
      <c r="E459" s="1" t="str">
        <f>"안온(안온북스)"</f>
        <v>안온(안온북스)</v>
      </c>
      <c r="F459" s="1" t="str">
        <f>"312 p.;20 cm"</f>
        <v>312 p.;20 cm</v>
      </c>
      <c r="G459" s="1"/>
    </row>
    <row r="460" spans="1:7" x14ac:dyDescent="0.3">
      <c r="A460" s="1" t="str">
        <f>"종합자료실"</f>
        <v>종합자료실</v>
      </c>
      <c r="B460" s="1" t="str">
        <f>"370.4-김94ㄱ"</f>
        <v>370.4-김94ㄱ</v>
      </c>
      <c r="C460" s="1" t="str">
        <f>"괴물 부모의 탄생 : 공동체를 해치는 독이 든 사랑"</f>
        <v>괴물 부모의 탄생 : 공동체를 해치는 독이 든 사랑</v>
      </c>
      <c r="D460" s="1" t="str">
        <f>"김현수 지음"</f>
        <v>김현수 지음</v>
      </c>
      <c r="E460" s="1" t="str">
        <f>"우리학교"</f>
        <v>우리학교</v>
      </c>
      <c r="F460" s="1" t="str">
        <f>"172 p.;19 cm"</f>
        <v>172 p.;19 cm</v>
      </c>
      <c r="G460" s="1"/>
    </row>
    <row r="461" spans="1:7" x14ac:dyDescent="0.3">
      <c r="A461" s="1" t="str">
        <f>"종합자료실"</f>
        <v>종합자료실</v>
      </c>
      <c r="B461" s="1" t="str">
        <f>"539.9-툰43ㄱ"</f>
        <v>539.9-툰43ㄱ</v>
      </c>
      <c r="C461" s="1" t="str">
        <f>"기후 책 : 그레타 툰베리가 세계 지성들과 함께 쓴 기후위기 교과서"</f>
        <v>기후 책 : 그레타 툰베리가 세계 지성들과 함께 쓴 기후위기 교과서</v>
      </c>
      <c r="D461" s="1" t="str">
        <f>"그레타 툰베리 지음;이순희 옮김;기후변화행동연구소 감수"</f>
        <v>그레타 툰베리 지음;이순희 옮김;기후변화행동연구소 감수</v>
      </c>
      <c r="E461" s="1" t="str">
        <f>"김영사"</f>
        <v>김영사</v>
      </c>
      <c r="F461" s="1" t="str">
        <f>"568 p:천연색삽화, 도표, 지도;25 cm"</f>
        <v>568 p:천연색삽화, 도표, 지도;25 cm</v>
      </c>
      <c r="G461" s="1"/>
    </row>
    <row r="462" spans="1:7" x14ac:dyDescent="0.3">
      <c r="A462" s="1" t="str">
        <f>"종합자료실"</f>
        <v>종합자료실</v>
      </c>
      <c r="B462" s="1" t="str">
        <f>"598.6-조79ㄱ"</f>
        <v>598.6-조79ㄱ</v>
      </c>
      <c r="C462" s="1" t="str">
        <f>"공부 감각, 10세 이전에 완성된다  : 옥스퍼드대 조지은 교수가 알려주는 평생을 좌우하는 공부 베이스"</f>
        <v>공부 감각, 10세 이전에 완성된다  : 옥스퍼드대 조지은 교수가 알려주는 평생을 좌우하는 공부 베이스</v>
      </c>
      <c r="D462" s="1" t="str">
        <f>"조지은 지음"</f>
        <v>조지은 지음</v>
      </c>
      <c r="E462" s="1" t="str">
        <f>"쌤앤파커스"</f>
        <v>쌤앤파커스</v>
      </c>
      <c r="F462" s="1" t="str">
        <f>"262 p.:삽화;22 cm"</f>
        <v>262 p.:삽화;22 cm</v>
      </c>
      <c r="G462" s="1"/>
    </row>
    <row r="463" spans="1:7" x14ac:dyDescent="0.3">
      <c r="A463" s="1" t="str">
        <f>"종합자료실"</f>
        <v>종합자료실</v>
      </c>
      <c r="B463" s="1" t="str">
        <f>"818-이5823ㄲ"</f>
        <v>818-이5823ㄲ</v>
      </c>
      <c r="C463" s="1" t="str">
        <f>"끝내주는 인생  : 이슬아 산문집"</f>
        <v>끝내주는 인생  : 이슬아 산문집</v>
      </c>
      <c r="D463" s="1" t="str">
        <f>"이슬아 지음;이훤 사진"</f>
        <v>이슬아 지음;이훤 사진</v>
      </c>
      <c r="E463" s="1" t="str">
        <f>"디플롯"</f>
        <v>디플롯</v>
      </c>
      <c r="F463" s="1" t="str">
        <f>"225 p.:천연색삽화;20 cm"</f>
        <v>225 p.:천연색삽화;20 cm</v>
      </c>
      <c r="G463" s="1"/>
    </row>
    <row r="464" spans="1:7" x14ac:dyDescent="0.3">
      <c r="A464" s="1" t="str">
        <f>"종합자료실"</f>
        <v>종합자료실</v>
      </c>
      <c r="B464" s="1" t="str">
        <f>"186.3-전95ㅁ=3"</f>
        <v>186.3-전95ㅁ=3</v>
      </c>
      <c r="C464" s="1" t="str">
        <f>"매우 예민한 사람들을 위한 상담소  : 뇌과학과 정신의학을 통해 예민함을 나만의 능력으로"</f>
        <v>매우 예민한 사람들을 위한 상담소  : 뇌과학과 정신의학을 통해 예민함을 나만의 능력으로</v>
      </c>
      <c r="D464" s="1" t="str">
        <f>"전홍진 지음"</f>
        <v>전홍진 지음</v>
      </c>
      <c r="E464" s="1" t="str">
        <f>"한겨레출판 :한겨레엔"</f>
        <v>한겨레출판 :한겨레엔</v>
      </c>
      <c r="F464" s="1" t="str">
        <f>"423 p.:삽화;21 cm"</f>
        <v>423 p.:삽화;21 cm</v>
      </c>
      <c r="G464" s="1"/>
    </row>
    <row r="465" spans="1:7" x14ac:dyDescent="0.3">
      <c r="A465" s="1" t="str">
        <f>"종합자료실"</f>
        <v>종합자료실</v>
      </c>
      <c r="B465" s="1" t="str">
        <f>"334.0911-임68ㅅ"</f>
        <v>334.0911-임68ㅅ</v>
      </c>
      <c r="C465" s="1" t="str">
        <f>"숫자 사회  : 순 자산 10억이 목표가 된 사회는 어떻게 붕괴되는가"</f>
        <v>숫자 사회  : 순 자산 10억이 목표가 된 사회는 어떻게 붕괴되는가</v>
      </c>
      <c r="D465" s="1" t="str">
        <f>"임의진 지음"</f>
        <v>임의진 지음</v>
      </c>
      <c r="E465" s="1" t="str">
        <f>"Whale Books(웨일북)"</f>
        <v>Whale Books(웨일북)</v>
      </c>
      <c r="F465" s="1" t="str">
        <f>"283 p.:천연색삽화, 도표;21 cm"</f>
        <v>283 p.:천연색삽화, 도표;21 cm</v>
      </c>
      <c r="G465" s="1"/>
    </row>
    <row r="466" spans="1:7" x14ac:dyDescent="0.3">
      <c r="A466" s="1" t="str">
        <f>"종합자료실"</f>
        <v>종합자료실</v>
      </c>
      <c r="B466" s="1" t="str">
        <f>"373-이823ㅊ"</f>
        <v>373-이823ㅊ</v>
      </c>
      <c r="C466" s="1" t="str">
        <f>"최적의 공부 뇌  : 평범한 뇌도 탁월하게 만드는 두뇌 개조 프로젝트"</f>
        <v>최적의 공부 뇌  : 평범한 뇌도 탁월하게 만드는 두뇌 개조 프로젝트</v>
      </c>
      <c r="D466" s="1" t="str">
        <f>"이케가야 유지 지음;나카무라 타카시 본문 일러스트;하현성 옮김"</f>
        <v>이케가야 유지 지음;나카무라 타카시 본문 일러스트;하현성 옮김</v>
      </c>
      <c r="E466" s="1" t="str">
        <f>"포레스트북스 :콘텐츠그룹 포레스트"</f>
        <v>포레스트북스 :콘텐츠그룹 포레스트</v>
      </c>
      <c r="F466" s="1" t="str">
        <f>"261 p.:삽화, 도표;21 cm"</f>
        <v>261 p.:삽화, 도표;21 cm</v>
      </c>
      <c r="G466" s="1"/>
    </row>
    <row r="467" spans="1:7" x14ac:dyDescent="0.3">
      <c r="A467" s="1" t="str">
        <f>"종합자료실"</f>
        <v>종합자료실</v>
      </c>
      <c r="B467" s="1" t="str">
        <f>"813.6-이675ㅈ"</f>
        <v>813.6-이675ㅈ</v>
      </c>
      <c r="C467" s="1" t="str">
        <f>"좋은 곳에서 만나요  : 이유리 연작소설"</f>
        <v>좋은 곳에서 만나요  : 이유리 연작소설</v>
      </c>
      <c r="D467" s="1" t="str">
        <f>"이유리 지음"</f>
        <v>이유리 지음</v>
      </c>
      <c r="E467" s="1" t="str">
        <f>"안온(안온북스)"</f>
        <v>안온(안온북스)</v>
      </c>
      <c r="F467" s="1" t="str">
        <f>"295 p.;19 cm"</f>
        <v>295 p.;19 cm</v>
      </c>
      <c r="G467" s="1"/>
    </row>
    <row r="468" spans="1:7" x14ac:dyDescent="0.3">
      <c r="A468" s="1" t="str">
        <f>"종합자료실"</f>
        <v>종합자료실</v>
      </c>
      <c r="B468" s="1" t="str">
        <f>"325.211-고2256ㅇ"</f>
        <v>325.211-고2256ㅇ</v>
      </c>
      <c r="C468" s="1" t="str">
        <f>"일이란 무엇인가  : 오직 일로 성공하고자 하는 사람들을 위한 질문"</f>
        <v>일이란 무엇인가  : 오직 일로 성공하고자 하는 사람들을 위한 질문</v>
      </c>
      <c r="D468" s="1" t="str">
        <f>"고동진 지음"</f>
        <v>고동진 지음</v>
      </c>
      <c r="E468" s="1" t="str">
        <f>"민음사"</f>
        <v>민음사</v>
      </c>
      <c r="F468" s="1" t="str">
        <f>"307 p.:도표;22 cm"</f>
        <v>307 p.:도표;22 cm</v>
      </c>
      <c r="G468" s="1"/>
    </row>
    <row r="469" spans="1:7" x14ac:dyDescent="0.3">
      <c r="A469" s="1" t="str">
        <f>"종합자료실"</f>
        <v>종합자료실</v>
      </c>
      <c r="B469" s="1" t="str">
        <f>"513.8522-슈67ㄱ"</f>
        <v>513.8522-슈67ㄱ</v>
      </c>
      <c r="C469" s="1" t="str">
        <f>"강박에 빠진 뇌  : 신경학적 불균형이 만들어낸 멈출 수 없는 불안"</f>
        <v>강박에 빠진 뇌  : 신경학적 불균형이 만들어낸 멈출 수 없는 불안</v>
      </c>
      <c r="D469" s="1" t="str">
        <f>"제프리 슈워츠 지음;이은진 옮김"</f>
        <v>제프리 슈워츠 지음;이은진 옮김</v>
      </c>
      <c r="E469" s="1" t="str">
        <f>"RHK(알에이치코리아)"</f>
        <v>RHK(알에이치코리아)</v>
      </c>
      <c r="F469" s="1" t="str">
        <f>"415 p.:삽화;21 cm"</f>
        <v>415 p.:삽화;21 cm</v>
      </c>
      <c r="G469" s="1"/>
    </row>
    <row r="470" spans="1:7" x14ac:dyDescent="0.3">
      <c r="A470" s="1" t="str">
        <f>"종합자료실"</f>
        <v>종합자료실</v>
      </c>
      <c r="B470" s="1" t="str">
        <f>"337.04-필239ㄴ"</f>
        <v>337.04-필239ㄴ</v>
      </c>
      <c r="C470" s="1" t="str">
        <f>"나의 사랑스러운 방해자  : 앨리스 닐, 도리스 레싱, 어슐러 르 귄, 오드리 로드, 수전 손태그, 앨리스 워커, 앤절라 카터··· 돌보는 사람들의 창조성에 관하여"</f>
        <v>나의 사랑스러운 방해자  : 앨리스 닐, 도리스 레싱, 어슐러 르 귄, 오드리 로드, 수전 손태그, 앨리스 워커, 앤절라 카터··· 돌보는 사람들의 창조성에 관하여</v>
      </c>
      <c r="D470" s="1" t="str">
        <f>"줄리 필립스 지음;박재연,박선영,김유경,김희진 옮김"</f>
        <v>줄리 필립스 지음;박재연,박선영,김유경,김희진 옮김</v>
      </c>
      <c r="E470" s="1" t="str">
        <f>"돌고래"</f>
        <v>돌고래</v>
      </c>
      <c r="F470" s="1" t="str">
        <f>"534 p.:삽화(일부천연색), 초상;22 cm"</f>
        <v>534 p.:삽화(일부천연색), 초상;22 cm</v>
      </c>
      <c r="G470" s="1"/>
    </row>
    <row r="471" spans="1:7" x14ac:dyDescent="0.3">
      <c r="A471" s="1" t="str">
        <f>"종합자료실"</f>
        <v>종합자료실</v>
      </c>
      <c r="B471" s="1" t="str">
        <f>"813.6-장11ㄷ"</f>
        <v>813.6-장11ㄷ</v>
      </c>
      <c r="C471" s="1" t="str">
        <f>"당신이 보고 싶어하는 세상  : 장강명 소설"</f>
        <v>당신이 보고 싶어하는 세상  : 장강명 소설</v>
      </c>
      <c r="D471" s="1" t="str">
        <f>"장강명 지음"</f>
        <v>장강명 지음</v>
      </c>
      <c r="E471" s="1" t="str">
        <f>"문학동네"</f>
        <v>문학동네</v>
      </c>
      <c r="F471" s="1" t="str">
        <f>"403 p.;20 cm"</f>
        <v>403 p.;20 cm</v>
      </c>
      <c r="G471" s="1"/>
    </row>
    <row r="472" spans="1:7" x14ac:dyDescent="0.3">
      <c r="A472" s="1" t="str">
        <f>"종합자료실"</f>
        <v>종합자료실</v>
      </c>
      <c r="B472" s="1" t="str">
        <f>"331.18-카213ㄷ"</f>
        <v>331.18-카213ㄷ</v>
      </c>
      <c r="C472" s="1" t="str">
        <f>"데일 카네기 인간관계론"</f>
        <v>데일 카네기 인간관계론</v>
      </c>
      <c r="D472" s="1" t="str">
        <f>"데일 카네기 지음;이지연 옮김"</f>
        <v>데일 카네기 지음;이지연 옮김</v>
      </c>
      <c r="E472" s="1" t="str">
        <f>"다산북스"</f>
        <v>다산북스</v>
      </c>
      <c r="F472" s="1" t="str">
        <f>"382 p.;23 cm"</f>
        <v>382 p.;23 cm</v>
      </c>
      <c r="G472" s="1"/>
    </row>
    <row r="473" spans="1:7" x14ac:dyDescent="0.3">
      <c r="A473" s="1" t="str">
        <f>"종합자료실"</f>
        <v>종합자료실</v>
      </c>
      <c r="B473" s="1" t="str">
        <f>"813.6-구44ㅇ"</f>
        <v>813.6-구44ㅇ</v>
      </c>
      <c r="C473" s="1" t="str">
        <f>"있을 법한 모든 것  : 구병모 소설"</f>
        <v>있을 법한 모든 것  : 구병모 소설</v>
      </c>
      <c r="D473" s="1" t="str">
        <f>"구병모 지음"</f>
        <v>구병모 지음</v>
      </c>
      <c r="E473" s="1" t="str">
        <f>"문학동네"</f>
        <v>문학동네</v>
      </c>
      <c r="F473" s="1" t="str">
        <f>"265 p.;20 cm"</f>
        <v>265 p.;20 cm</v>
      </c>
      <c r="G473" s="1"/>
    </row>
    <row r="474" spans="1:7" x14ac:dyDescent="0.3">
      <c r="A474" s="1" t="str">
        <f>"종합자료실"</f>
        <v>종합자료실</v>
      </c>
      <c r="B474" s="1" t="str">
        <f>"320.9-오13ㅇ"</f>
        <v>320.9-오13ㅇ</v>
      </c>
      <c r="C474" s="1" t="str">
        <f>"위기의 역사  : 외환위기부터 인플레이션의 부활까지 경제위기의 생성과 소멸"</f>
        <v>위기의 역사  : 외환위기부터 인플레이션의 부활까지 경제위기의 생성과 소멸</v>
      </c>
      <c r="D474" s="1" t="str">
        <f>"오건영 지음;안병현 그림"</f>
        <v>오건영 지음;안병현 그림</v>
      </c>
      <c r="E474" s="1" t="str">
        <f>"Page2(페이지2북스)"</f>
        <v>Page2(페이지2북스)</v>
      </c>
      <c r="F474" s="1" t="str">
        <f>"477 p.:천연색삽화, 도표;23 cm"</f>
        <v>477 p.:천연색삽화, 도표;23 cm</v>
      </c>
      <c r="G474" s="1"/>
    </row>
    <row r="475" spans="1:7" x14ac:dyDescent="0.3">
      <c r="A475" s="1" t="str">
        <f>"종합자료실"</f>
        <v>종합자료실</v>
      </c>
      <c r="B475" s="1" t="str">
        <f>"833.6-시2315ㅁ"</f>
        <v>833.6-시2315ㅁ</v>
      </c>
      <c r="C475" s="1" t="str">
        <f>"명탐정의 제물 : 인민교회 살인사건"</f>
        <v>명탐정의 제물 : 인민교회 살인사건</v>
      </c>
      <c r="D475" s="1" t="str">
        <f>"시라이 도모유키 지음;구수영 옮김"</f>
        <v>시라이 도모유키 지음;구수영 옮김</v>
      </c>
      <c r="E475" s="1" t="str">
        <f>"내친구의서재"</f>
        <v>내친구의서재</v>
      </c>
      <c r="F475" s="1" t="str">
        <f>"544 p.;18 cm"</f>
        <v>544 p.;18 cm</v>
      </c>
      <c r="G475" s="1"/>
    </row>
    <row r="476" spans="1:7" x14ac:dyDescent="0.3">
      <c r="A476" s="1" t="str">
        <f>"종합자료실"</f>
        <v>종합자료실</v>
      </c>
      <c r="B476" s="1" t="str">
        <f>"573.53-조58ㅅ"</f>
        <v>573.53-조58ㅅ</v>
      </c>
      <c r="C476" s="1" t="str">
        <f>"스카치가 있어 즐거운 세상  : 주락이 월드, 스코틀랜드 증류소 탐험"</f>
        <v>스카치가 있어 즐거운 세상  : 주락이 월드, 스코틀랜드 증류소 탐험</v>
      </c>
      <c r="D476" s="1" t="str">
        <f>"조승원 지음"</f>
        <v>조승원 지음</v>
      </c>
      <c r="E476" s="1" t="str">
        <f>"싱긋 :교유당"</f>
        <v>싱긋 :교유당</v>
      </c>
      <c r="F476" s="1" t="str">
        <f>"678 p.:천연색삽화;23 cm"</f>
        <v>678 p.:천연색삽화;23 cm</v>
      </c>
      <c r="G476" s="1"/>
    </row>
    <row r="477" spans="1:7" x14ac:dyDescent="0.3">
      <c r="A477" s="1" t="str">
        <f>"종합자료실"</f>
        <v>종합자료실</v>
      </c>
      <c r="B477" s="1" t="str">
        <f>"370.181-윌239ㄱ"</f>
        <v>370.181-윌239ㄱ</v>
      </c>
      <c r="C477" s="1" t="str">
        <f>"공부하고 있다는 착각  : 성적의 판도를 가르는 뇌 최적화의 기술"</f>
        <v>공부하고 있다는 착각  : 성적의 판도를 가르는 뇌 최적화의 기술</v>
      </c>
      <c r="D477" s="1" t="str">
        <f>"대니얼 T. 윌링햄 지음;박세연 옮김"</f>
        <v>대니얼 T. 윌링햄 지음;박세연 옮김</v>
      </c>
      <c r="E477" s="1" t="str">
        <f>"웅진지식하우스 :웅진씽크빅"</f>
        <v>웅진지식하우스 :웅진씽크빅</v>
      </c>
      <c r="F477" s="1" t="str">
        <f>"407 p.:도표;23 cm"</f>
        <v>407 p.:도표;23 cm</v>
      </c>
      <c r="G477" s="1"/>
    </row>
    <row r="478" spans="1:7" x14ac:dyDescent="0.3">
      <c r="A478" s="1" t="str">
        <f>"종합자료실"</f>
        <v>종합자료실</v>
      </c>
      <c r="B478" s="1" t="str">
        <f>"325.19-김67ㅂ"</f>
        <v>325.19-김67ㅂ</v>
      </c>
      <c r="C478" s="1" t="str">
        <f>"비욘드 디스럽션  : 파괴적 혁신을 넘어"</f>
        <v>비욘드 디스럽션  : 파괴적 혁신을 넘어</v>
      </c>
      <c r="D478" s="1" t="str">
        <f>"김위찬,르네 마보안 지음;권영설 옮김"</f>
        <v>김위찬,르네 마보안 지음;권영설 옮김</v>
      </c>
      <c r="E478" s="1" t="str">
        <f>"한국경제신문 :한국경제신문 한경BP"</f>
        <v>한국경제신문 :한국경제신문 한경BP</v>
      </c>
      <c r="F478" s="1" t="str">
        <f>"307 p.;23 cm"</f>
        <v>307 p.;23 cm</v>
      </c>
      <c r="G478" s="1"/>
    </row>
    <row r="479" spans="1:7" x14ac:dyDescent="0.3">
      <c r="A479" s="1" t="str">
        <f>"종합자료실"</f>
        <v>종합자료실</v>
      </c>
      <c r="B479" s="1" t="str">
        <f>"833.6-다8216ㄱ"</f>
        <v>833.6-다8216ㄱ</v>
      </c>
      <c r="C479" s="1" t="str">
        <f>"건널목의 유령  : 다카노 가즈아키 장편소설"</f>
        <v>건널목의 유령  : 다카노 가즈아키 장편소설</v>
      </c>
      <c r="D479" s="1" t="str">
        <f>"다카노 가즈아키 지음;박춘상 옮김"</f>
        <v>다카노 가즈아키 지음;박춘상 옮김</v>
      </c>
      <c r="E479" s="1" t="str">
        <f>"황금가지"</f>
        <v>황금가지</v>
      </c>
      <c r="F479" s="1" t="str">
        <f>"354 p.;21 cm"</f>
        <v>354 p.;21 cm</v>
      </c>
      <c r="G479" s="1"/>
    </row>
    <row r="480" spans="1:7" x14ac:dyDescent="0.3">
      <c r="A480" s="1" t="str">
        <f>"종합자료실"</f>
        <v>종합자료실</v>
      </c>
      <c r="B480" s="1" t="str">
        <f>"325.555-브233ㅂ"</f>
        <v>325.555-브233ㅂ</v>
      </c>
      <c r="C480" s="1" t="str">
        <f>"브랜드 설계자  : 구매 전환율을 높이는 19가지 브랜딩 과학"</f>
        <v>브랜드 설계자  : 구매 전환율을 높이는 19가지 브랜딩 과학</v>
      </c>
      <c r="D480" s="1" t="str">
        <f>"러셀 브런슨 지음;홍경탁 옮김"</f>
        <v>러셀 브런슨 지음;홍경탁 옮김</v>
      </c>
      <c r="E480" s="1" t="str">
        <f>"윌북"</f>
        <v>윌북</v>
      </c>
      <c r="F480" s="1" t="str">
        <f>"378 p.:삽화;22 cm"</f>
        <v>378 p.:삽화;22 cm</v>
      </c>
      <c r="G480" s="1"/>
    </row>
    <row r="481" spans="1:7" x14ac:dyDescent="0.3">
      <c r="A481" s="1" t="str">
        <f>"종합자료실"</f>
        <v>종합자료실</v>
      </c>
      <c r="B481" s="1" t="str">
        <f>"833.6-히11눈"</f>
        <v>833.6-히11눈</v>
      </c>
      <c r="C481" s="1" t="str">
        <f>"눈에 갇힌 외딴 산장에서"</f>
        <v>눈에 갇힌 외딴 산장에서</v>
      </c>
      <c r="D481" s="1" t="str">
        <f>"히가시노 게이고 지음;김난주 옮김"</f>
        <v>히가시노 게이고 지음;김난주 옮김</v>
      </c>
      <c r="E481" s="1" t="str">
        <f>"재인"</f>
        <v>재인</v>
      </c>
      <c r="F481" s="1" t="str">
        <f>"344 p.;23 cm"</f>
        <v>344 p.;23 cm</v>
      </c>
      <c r="G481" s="1"/>
    </row>
    <row r="482" spans="1:7" x14ac:dyDescent="0.3">
      <c r="A482" s="1" t="str">
        <f>"종합자료실"</f>
        <v>종합자료실</v>
      </c>
      <c r="B482" s="1" t="str">
        <f>"813.6-김987ㅌ"</f>
        <v>813.6-김987ㅌ</v>
      </c>
      <c r="C482" s="1" t="str">
        <f>"탱크  : 김희재 장편소설"</f>
        <v>탱크  : 김희재 장편소설</v>
      </c>
      <c r="D482" s="1" t="str">
        <f>"김희재 지음"</f>
        <v>김희재 지음</v>
      </c>
      <c r="E482" s="1" t="str">
        <f>"한겨레출판 :한겨레엔"</f>
        <v>한겨레출판 :한겨레엔</v>
      </c>
      <c r="F482" s="1" t="str">
        <f>"280 p.;21 cm"</f>
        <v>280 p.;21 cm</v>
      </c>
      <c r="G482" s="1"/>
    </row>
    <row r="483" spans="1:7" x14ac:dyDescent="0.3">
      <c r="A483" s="1" t="str">
        <f>"종합자료실"</f>
        <v>종합자료실</v>
      </c>
      <c r="B483" s="1" t="str">
        <f>"332-케69ㅍ"</f>
        <v>332-케69ㅍ</v>
      </c>
      <c r="C483" s="1" t="str">
        <f>"페미니스트, 퀴어, 불구 : 불구의 미래를 향한 새로운 정치학과 상상력"</f>
        <v>페미니스트, 퀴어, 불구 : 불구의 미래를 향한 새로운 정치학과 상상력</v>
      </c>
      <c r="D483" s="1" t="str">
        <f>"앨리슨 케이퍼 지음;이명훈 옮김"</f>
        <v>앨리슨 케이퍼 지음;이명훈 옮김</v>
      </c>
      <c r="E483" s="1" t="str">
        <f>"오월의봄"</f>
        <v>오월의봄</v>
      </c>
      <c r="F483" s="1" t="str">
        <f>"568 p.;21 cm"</f>
        <v>568 p.;21 cm</v>
      </c>
      <c r="G483" s="1"/>
    </row>
    <row r="484" spans="1:7" x14ac:dyDescent="0.3">
      <c r="A484" s="1" t="str">
        <f>"종합자료실"</f>
        <v>종합자료실</v>
      </c>
      <c r="B484" s="1" t="str">
        <f>"309.111-조17ㅇ"</f>
        <v>309.111-조17ㅇ</v>
      </c>
      <c r="C484" s="1" t="str">
        <f>"이탈리아로 가는 길  = The rode to Italy  : 선진국 한국의 다음은 약속의 땅인가"</f>
        <v>이탈리아로 가는 길  = The rode to Italy  : 선진국 한국의 다음은 약속의 땅인가</v>
      </c>
      <c r="D484" s="1" t="str">
        <f>"조귀동 지음"</f>
        <v>조귀동 지음</v>
      </c>
      <c r="E484" s="1" t="str">
        <f>"생각의힘"</f>
        <v>생각의힘</v>
      </c>
      <c r="F484" s="1" t="str">
        <f>"327 p.:삽화, 도표;21 cm"</f>
        <v>327 p.:삽화, 도표;21 cm</v>
      </c>
      <c r="G484" s="1"/>
    </row>
    <row r="485" spans="1:7" x14ac:dyDescent="0.3">
      <c r="A485" s="1" t="str">
        <f>"종합자료실"</f>
        <v>종합자료실</v>
      </c>
      <c r="B485" s="1" t="str">
        <f>"325.211-앨233ㅎ"</f>
        <v>325.211-앨233ㅎ</v>
      </c>
      <c r="C485" s="1" t="str">
        <f>"힘든 일을 먼저 하라  : 자기 인생 자기가 망치는 미루기 중독자를 위한 최후의 처방"</f>
        <v>힘든 일을 먼저 하라  : 자기 인생 자기가 망치는 미루기 중독자를 위한 최후의 처방</v>
      </c>
      <c r="D485" s="1" t="str">
        <f>"스콧 앨런 지음;이희경 옮김"</f>
        <v>스콧 앨런 지음;이희경 옮김</v>
      </c>
      <c r="E485" s="1" t="str">
        <f>"갤리온 :웅진씽크빅"</f>
        <v>갤리온 :웅진씽크빅</v>
      </c>
      <c r="F485" s="1" t="str">
        <f>"255 p.;21 cm"</f>
        <v>255 p.;21 cm</v>
      </c>
      <c r="G485" s="1"/>
    </row>
    <row r="486" spans="1:7" x14ac:dyDescent="0.3">
      <c r="A486" s="1" t="str">
        <f>"종합자료실"</f>
        <v>종합자료실</v>
      </c>
      <c r="B486" s="1" t="str">
        <f>"598.1-차41ㄲ"</f>
        <v>598.1-차41ㄲ</v>
      </c>
      <c r="C486" s="1" t="str">
        <f>"깨어있는 양육  : 아이가 보내는 신호를 제대로 읽고 소통하는 법"</f>
        <v>깨어있는 양육  : 아이가 보내는 신호를 제대로 읽고 소통하는 법</v>
      </c>
      <c r="D486" s="1" t="str">
        <f>"셰팔리 차바리 지음;구미화 옮김"</f>
        <v>셰팔리 차바리 지음;구미화 옮김</v>
      </c>
      <c r="E486" s="1" t="str">
        <f>"나무의마음"</f>
        <v>나무의마음</v>
      </c>
      <c r="F486" s="1" t="str">
        <f>"382 p.;22 cm"</f>
        <v>382 p.;22 cm</v>
      </c>
      <c r="G486" s="1"/>
    </row>
    <row r="487" spans="1:7" x14ac:dyDescent="0.3">
      <c r="A487" s="1" t="str">
        <f>"종합자료실"</f>
        <v>종합자료실</v>
      </c>
      <c r="B487" s="1" t="str">
        <f>"373.4-강67ㄱ"</f>
        <v>373.4-강67ㄱ</v>
      </c>
      <c r="C487" s="1" t="str">
        <f>"강원국의 진짜 공부"</f>
        <v>강원국의 진짜 공부</v>
      </c>
      <c r="D487" s="1" t="str">
        <f>"강원국 지음"</f>
        <v>강원국 지음</v>
      </c>
      <c r="E487" s="1" t="str">
        <f>"창비교육"</f>
        <v>창비교육</v>
      </c>
      <c r="F487" s="1" t="str">
        <f>"263 p.:표;22 cm"</f>
        <v>263 p.:표;22 cm</v>
      </c>
      <c r="G487" s="1"/>
    </row>
    <row r="488" spans="1:7" x14ac:dyDescent="0.3">
      <c r="A488" s="1" t="str">
        <f>"종합자료실"</f>
        <v>종합자료실</v>
      </c>
      <c r="B488" s="1" t="str">
        <f>"211.11-암58ㅅ"</f>
        <v>211.11-암58ㅅ</v>
      </c>
      <c r="C488" s="1" t="str">
        <f>"신의 역사  : 신의 탄생과 정신의 모험"</f>
        <v>신의 역사  : 신의 탄생과 정신의 모험</v>
      </c>
      <c r="D488" s="1" t="str">
        <f>"카렌 암스트롱 지음;배국원,유지황 옮김"</f>
        <v>카렌 암스트롱 지음;배국원,유지황 옮김</v>
      </c>
      <c r="E488" s="1" t="str">
        <f>"교양인"</f>
        <v>교양인</v>
      </c>
      <c r="F488" s="1" t="str">
        <f>"723 p.;23 cm"</f>
        <v>723 p.;23 cm</v>
      </c>
      <c r="G488" s="1"/>
    </row>
    <row r="489" spans="1:7" x14ac:dyDescent="0.3">
      <c r="A489" s="1" t="str">
        <f>"종합자료실"</f>
        <v>종합자료실</v>
      </c>
      <c r="B489" s="1" t="str">
        <f>"833.6-오63ㅎ-1"</f>
        <v>833.6-오63ㅎ-1</v>
      </c>
      <c r="C489" s="1" t="str">
        <f>"홍수는 내 영혼에 이르고. 1, 오에 겐자부로 장편소설"</f>
        <v>홍수는 내 영혼에 이르고. 1, 오에 겐자부로 장편소설</v>
      </c>
      <c r="D489" s="1" t="str">
        <f>"오에 겐자부로 지음;김현경 옮김"</f>
        <v>오에 겐자부로 지음;김현경 옮김</v>
      </c>
      <c r="E489" s="1" t="str">
        <f>"은행나무"</f>
        <v>은행나무</v>
      </c>
      <c r="F489" s="1" t="str">
        <f>"348 p.;19 cm"</f>
        <v>348 p.;19 cm</v>
      </c>
      <c r="G489" s="1"/>
    </row>
    <row r="490" spans="1:7" x14ac:dyDescent="0.3">
      <c r="A490" s="1" t="str">
        <f>"종합자료실"</f>
        <v>종합자료실</v>
      </c>
      <c r="B490" s="1" t="str">
        <f>"833.6-오63ㅎ-2"</f>
        <v>833.6-오63ㅎ-2</v>
      </c>
      <c r="C490" s="1" t="str">
        <f>"홍수는 내 영혼에 이르고. 2, 오에 겐자부로 장편소설"</f>
        <v>홍수는 내 영혼에 이르고. 2, 오에 겐자부로 장편소설</v>
      </c>
      <c r="D490" s="1" t="str">
        <f>"오에 겐자부로 지음;김현경 옮김"</f>
        <v>오에 겐자부로 지음;김현경 옮김</v>
      </c>
      <c r="E490" s="1" t="str">
        <f>"은행나무"</f>
        <v>은행나무</v>
      </c>
      <c r="F490" s="1" t="str">
        <f>"376 p.;19 cm"</f>
        <v>376 p.;19 cm</v>
      </c>
      <c r="G490" s="1"/>
    </row>
    <row r="491" spans="1:7" x14ac:dyDescent="0.3">
      <c r="A491" s="1" t="str">
        <f>"종합자료실"</f>
        <v>종합자료실</v>
      </c>
      <c r="B491" s="1" t="str">
        <f>"332.2-김79ㄱ"</f>
        <v>332.2-김79ㄱ</v>
      </c>
      <c r="C491" s="1" t="str">
        <f>"가족각본"</f>
        <v>가족각본</v>
      </c>
      <c r="D491" s="1" t="str">
        <f>"김지혜 지음"</f>
        <v>김지혜 지음</v>
      </c>
      <c r="E491" s="1" t="str">
        <f>"창비"</f>
        <v>창비</v>
      </c>
      <c r="F491" s="1" t="str">
        <f>"247 p.;20 cm"</f>
        <v>247 p.;20 cm</v>
      </c>
      <c r="G491" s="1"/>
    </row>
    <row r="492" spans="1:7" x14ac:dyDescent="0.3">
      <c r="A492" s="1" t="str">
        <f>"종합자료실"</f>
        <v>종합자료실</v>
      </c>
      <c r="B492" s="1" t="str">
        <f>"813.6-정666ㅈ"</f>
        <v>813.6-정666ㅈ</v>
      </c>
      <c r="C492" s="1" t="str">
        <f>"저스트 키딩  : 정용준 짧은 소설"</f>
        <v>저스트 키딩  : 정용준 짧은 소설</v>
      </c>
      <c r="D492" s="1" t="str">
        <f>"정용준 지음;이영리 그림"</f>
        <v>정용준 지음;이영리 그림</v>
      </c>
      <c r="E492" s="1" t="str">
        <f>"마음산책"</f>
        <v>마음산책</v>
      </c>
      <c r="F492" s="1" t="str">
        <f>"212 p.:천연색삽화;20 cm"</f>
        <v>212 p.:천연색삽화;20 cm</v>
      </c>
      <c r="G492" s="1"/>
    </row>
    <row r="493" spans="1:7" x14ac:dyDescent="0.3">
      <c r="A493" s="1" t="str">
        <f>"종합자료실"</f>
        <v>종합자료실</v>
      </c>
      <c r="B493" s="1" t="str">
        <f>"838-마58ㅁ"</f>
        <v>838-마58ㅁ</v>
      </c>
      <c r="C493" s="1" t="str">
        <f>"매일 이곳이 좋아집니다  : 낯선 곳에서 나 혼자 쌓아올린 괜찮은 하루하루"</f>
        <v>매일 이곳이 좋아집니다  : 낯선 곳에서 나 혼자 쌓아올린 괜찮은 하루하루</v>
      </c>
      <c r="D493" s="1" t="str">
        <f>"마스다 미리 지음;이소담 옮김"</f>
        <v>마스다 미리 지음;이소담 옮김</v>
      </c>
      <c r="E493" s="1" t="str">
        <f>"티라미수 The book"</f>
        <v>티라미수 The book</v>
      </c>
      <c r="F493" s="1" t="str">
        <f>"261p.:삽화;19cm"</f>
        <v>261p.:삽화;19cm</v>
      </c>
      <c r="G493" s="1"/>
    </row>
    <row r="494" spans="1:7" x14ac:dyDescent="0.3">
      <c r="A494" s="1" t="str">
        <f>"종합자료실"</f>
        <v>종합자료실</v>
      </c>
      <c r="B494" s="1" t="str">
        <f>"802.4-딜233ㅇ"</f>
        <v>802.4-딜233ㅇ</v>
      </c>
      <c r="C494" s="1" t="str">
        <f>"에세이즘"</f>
        <v>에세이즘</v>
      </c>
      <c r="D494" s="1" t="str">
        <f>"브라이언 딜런 지음;김정아 옮김"</f>
        <v>브라이언 딜런 지음;김정아 옮김</v>
      </c>
      <c r="E494" s="1" t="str">
        <f>"카라칼"</f>
        <v>카라칼</v>
      </c>
      <c r="F494" s="1" t="str">
        <f>"246 p.;20 cm"</f>
        <v>246 p.;20 cm</v>
      </c>
      <c r="G494" s="1"/>
    </row>
    <row r="495" spans="1:7" x14ac:dyDescent="0.3">
      <c r="A495" s="1" t="str">
        <f>"종합자료실"</f>
        <v>종합자료실</v>
      </c>
      <c r="B495" s="1" t="str">
        <f>"181.7-지211ㅋ"</f>
        <v>181.7-지211ㅋ</v>
      </c>
      <c r="C495" s="1" t="str">
        <f>"코어 마인드  = Core mind  : 내 마음대로 살 수 있는 내면의 힘"</f>
        <v>코어 마인드  = Core mind  : 내 마음대로 살 수 있는 내면의 힘</v>
      </c>
      <c r="D495" s="1" t="str">
        <f>"지나영 지음"</f>
        <v>지나영 지음</v>
      </c>
      <c r="E495" s="1" t="str">
        <f>"위즈덤하우스"</f>
        <v>위즈덤하우스</v>
      </c>
      <c r="F495" s="1" t="str">
        <f>"320 p.:삽화;21 cm"</f>
        <v>320 p.:삽화;21 cm</v>
      </c>
      <c r="G495" s="1"/>
    </row>
    <row r="496" spans="1:7" x14ac:dyDescent="0.3">
      <c r="A496" s="1" t="str">
        <f>"종합자료실"</f>
        <v>종합자료실</v>
      </c>
      <c r="B496" s="1" t="str">
        <f>"327.209-홍817ㄷ"</f>
        <v>327.209-홍817ㄷ</v>
      </c>
      <c r="C496" s="1" t="str">
        <f>"대한민국 돈의 역사  : 돈을 벌기 위해서는 역사에서 교훈을 얻어야 한다"</f>
        <v>대한민국 돈의 역사  : 돈을 벌기 위해서는 역사에서 교훈을 얻어야 한다</v>
      </c>
      <c r="D496" s="1" t="str">
        <f>"홍춘욱 지음"</f>
        <v>홍춘욱 지음</v>
      </c>
      <c r="E496" s="1" t="str">
        <f>"상상스퀘어"</f>
        <v>상상스퀘어</v>
      </c>
      <c r="F496" s="1" t="str">
        <f>"511 p.:천연색삽화, 도표;24 cm"</f>
        <v>511 p.:천연색삽화, 도표;24 cm</v>
      </c>
      <c r="G496" s="1"/>
    </row>
    <row r="497" spans="1:7" x14ac:dyDescent="0.3">
      <c r="A497" s="1" t="str">
        <f>"종합자료실"</f>
        <v>종합자료실</v>
      </c>
      <c r="B497" s="1" t="str">
        <f>"409-킨52ㅇ"</f>
        <v>409-킨52ㅇ</v>
      </c>
      <c r="C497" s="1" t="str">
        <f>"원자 스파이  : 나치의 원자폭탄 개발을 필사적으로 막은 과학자와 스파이들"</f>
        <v>원자 스파이  : 나치의 원자폭탄 개발을 필사적으로 막은 과학자와 스파이들</v>
      </c>
      <c r="D497" s="1" t="str">
        <f>"샘 킨 지음;이충호 옮김"</f>
        <v>샘 킨 지음;이충호 옮김</v>
      </c>
      <c r="E497" s="1" t="str">
        <f>"해나무 :북하우스 퍼블리셔스"</f>
        <v>해나무 :북하우스 퍼블리셔스</v>
      </c>
      <c r="F497" s="1" t="str">
        <f>"594 p. 도판 [32] p.:삽화, 도판;23 cm"</f>
        <v>594 p. 도판 [32] p.:삽화, 도판;23 cm</v>
      </c>
      <c r="G497" s="1"/>
    </row>
    <row r="498" spans="1:7" x14ac:dyDescent="0.3">
      <c r="A498" s="1" t="str">
        <f>"종합자료실"</f>
        <v>종합자료실</v>
      </c>
      <c r="B498" s="1" t="str">
        <f>"813.6-김966ㄱ"</f>
        <v>813.6-김966ㄱ</v>
      </c>
      <c r="C498" s="1" t="str">
        <f>"공룡의 이동 경로  : 김화진 소설"</f>
        <v>공룡의 이동 경로  : 김화진 소설</v>
      </c>
      <c r="D498" s="1" t="str">
        <f>"김화진 지음"</f>
        <v>김화진 지음</v>
      </c>
      <c r="E498" s="1" t="str">
        <f>"스위밍꿀"</f>
        <v>스위밍꿀</v>
      </c>
      <c r="F498" s="1" t="str">
        <f>"226 p.;19 cm"</f>
        <v>226 p.;19 cm</v>
      </c>
      <c r="G498" s="1"/>
    </row>
    <row r="499" spans="1:7" x14ac:dyDescent="0.3">
      <c r="A499" s="1" t="str">
        <f>"종합자료실"</f>
        <v>종합자료실</v>
      </c>
      <c r="B499" s="1" t="str">
        <f>"833.6-미62삼"</f>
        <v>833.6-미62삼</v>
      </c>
      <c r="C499" s="1" t="str">
        <f>"삼가 이와 같이 아뢰옵니다"</f>
        <v>삼가 이와 같이 아뢰옵니다</v>
      </c>
      <c r="D499" s="1" t="str">
        <f>"미야베 미유키 지음;김소연 옮김"</f>
        <v>미야베 미유키 지음;김소연 옮김</v>
      </c>
      <c r="E499" s="1" t="str">
        <f>"북스피어"</f>
        <v>북스피어</v>
      </c>
      <c r="F499" s="1" t="str">
        <f>"575 p.;20 cm"</f>
        <v>575 p.;20 cm</v>
      </c>
      <c r="G499" s="1"/>
    </row>
    <row r="500" spans="1:7" x14ac:dyDescent="0.3">
      <c r="A500" s="1" t="str">
        <f>"종합자료실"</f>
        <v>종합자료실</v>
      </c>
      <c r="B500" s="1" t="str">
        <f>"653.26-이55ㅇ"</f>
        <v>653.26-이55ㅇ</v>
      </c>
      <c r="C500" s="1" t="str">
        <f>"이것은 라울 뒤피에 관한 이야기"</f>
        <v>이것은 라울 뒤피에 관한 이야기</v>
      </c>
      <c r="D500" s="1" t="str">
        <f>"이소영 지음"</f>
        <v>이소영 지음</v>
      </c>
      <c r="E500" s="1" t="str">
        <f>"RHK(알에이치코리아)"</f>
        <v>RHK(알에이치코리아)</v>
      </c>
      <c r="F500" s="1" t="str">
        <f>"355 p.:천연색삽화, 초상;24 cm"</f>
        <v>355 p.:천연색삽화, 초상;24 cm</v>
      </c>
      <c r="G500" s="1"/>
    </row>
    <row r="501" spans="1:7" x14ac:dyDescent="0.3">
      <c r="A501" s="1" t="str">
        <f>"종합자료실"</f>
        <v>종합자료실</v>
      </c>
      <c r="B501" s="1" t="str">
        <f>"199.1-나695ㅅ"</f>
        <v>199.1-나695ㅅ</v>
      </c>
      <c r="C501" s="1" t="str">
        <f>"사람은 생각하는 대로 된다  = We become what we think about  : 전 세계 1%만이 알고 있는 부와 성공의 진리"</f>
        <v>사람은 생각하는 대로 된다  = We become what we think about  : 전 세계 1%만이 알고 있는 부와 성공의 진리</v>
      </c>
      <c r="D501" s="1" t="str">
        <f>"얼 나이팅게일 지음;정지현 옮김"</f>
        <v>얼 나이팅게일 지음;정지현 옮김</v>
      </c>
      <c r="E501" s="1" t="str">
        <f>"빌리버튼"</f>
        <v>빌리버튼</v>
      </c>
      <c r="F501" s="1" t="str">
        <f>"307 p.;21 cm"</f>
        <v>307 p.;21 cm</v>
      </c>
      <c r="G501" s="1"/>
    </row>
    <row r="502" spans="1:7" x14ac:dyDescent="0.3">
      <c r="A502" s="1" t="str">
        <f>"종합자료실"</f>
        <v>종합자료실</v>
      </c>
      <c r="B502" s="1" t="str">
        <f>"517.10911-김94ㅇ"</f>
        <v>517.10911-김94ㅇ</v>
      </c>
      <c r="C502" s="1" t="str">
        <f>"의료 비즈니스의 시대  : 우리는 어쩌다 아픈 몸을 시장에 맡기게 되었나"</f>
        <v>의료 비즈니스의 시대  : 우리는 어쩌다 아픈 몸을 시장에 맡기게 되었나</v>
      </c>
      <c r="D502" s="1" t="str">
        <f>"김현아 지음"</f>
        <v>김현아 지음</v>
      </c>
      <c r="E502" s="1" t="str">
        <f>"돌베개"</f>
        <v>돌베개</v>
      </c>
      <c r="F502" s="1" t="str">
        <f>"275 p.:삽화, 도표;21 cm"</f>
        <v>275 p.:삽화, 도표;21 cm</v>
      </c>
      <c r="G502" s="1"/>
    </row>
    <row r="503" spans="1:7" x14ac:dyDescent="0.3">
      <c r="A503" s="1" t="str">
        <f>"종합자료실"</f>
        <v>종합자료실</v>
      </c>
      <c r="B503" s="1" t="str">
        <f>"364.45-노221ㅈ"</f>
        <v>364.45-노221ㅈ</v>
      </c>
      <c r="C503" s="1" t="str">
        <f>"전쟁과 죄책  : 일본 군국주의 전범들을 분석한 정신과 의사의 심층 보고서"</f>
        <v>전쟁과 죄책  : 일본 군국주의 전범들을 분석한 정신과 의사의 심층 보고서</v>
      </c>
      <c r="D503" s="1" t="str">
        <f>"노다 마사아키 지음;서혜영 옮김"</f>
        <v>노다 마사아키 지음;서혜영 옮김</v>
      </c>
      <c r="E503" s="1" t="str">
        <f>"또다른우주"</f>
        <v>또다른우주</v>
      </c>
      <c r="F503" s="1" t="str">
        <f>"482 p.;21 cm"</f>
        <v>482 p.;21 cm</v>
      </c>
      <c r="G503" s="1"/>
    </row>
    <row r="504" spans="1:7" x14ac:dyDescent="0.3">
      <c r="A504" s="1" t="str">
        <f>"종합자료실"</f>
        <v>종합자료실</v>
      </c>
      <c r="B504" s="1" t="str">
        <f>"813.6-정925ㅁ"</f>
        <v>813.6-정925ㅁ</v>
      </c>
      <c r="C504" s="1" t="str">
        <f>"못 먹는 남자  : 정해연 장편소설"</f>
        <v>못 먹는 남자  : 정해연 장편소설</v>
      </c>
      <c r="D504" s="1" t="str">
        <f>"정해연 지음"</f>
        <v>정해연 지음</v>
      </c>
      <c r="E504" s="1" t="str">
        <f>"엘릭시르 :문학동네"</f>
        <v>엘릭시르 :문학동네</v>
      </c>
      <c r="F504" s="1" t="str">
        <f>"355 p.;19 cm"</f>
        <v>355 p.;19 cm</v>
      </c>
      <c r="G504" s="1"/>
    </row>
    <row r="505" spans="1:7" x14ac:dyDescent="0.3">
      <c r="A505" s="1" t="str">
        <f>"종합자료실"</f>
        <v>종합자료실</v>
      </c>
      <c r="B505" s="1" t="str">
        <f>"327.87-정39ㅇ"</f>
        <v>327.87-정39ㅇ</v>
      </c>
      <c r="C505" s="1" t="str">
        <f>"아무도 가지 않은 길에 부가 있었다  : 흔들리는 투자자를 위한 부자의 독설 41"</f>
        <v>아무도 가지 않은 길에 부가 있었다  : 흔들리는 투자자를 위한 부자의 독설 41</v>
      </c>
      <c r="D505" s="1" t="str">
        <f>"정민우 지음"</f>
        <v>정민우 지음</v>
      </c>
      <c r="E505" s="1" t="str">
        <f>"다산북스"</f>
        <v>다산북스</v>
      </c>
      <c r="F505" s="1" t="str">
        <f>"319 p.;21 cm"</f>
        <v>319 p.;21 cm</v>
      </c>
      <c r="G505" s="1"/>
    </row>
    <row r="506" spans="1:7" x14ac:dyDescent="0.3">
      <c r="A506" s="1" t="str">
        <f>"종합자료실"</f>
        <v>종합자료실</v>
      </c>
      <c r="B506" s="1" t="str">
        <f>"331.4-칭62ㅅ"</f>
        <v>331.4-칭62ㅅ</v>
      </c>
      <c r="C506" s="1" t="str">
        <f>"세계 끝의 버섯  : 자본주의의 폐허에서 삶의 가능성에 대하여"</f>
        <v>세계 끝의 버섯  : 자본주의의 폐허에서 삶의 가능성에 대하여</v>
      </c>
      <c r="D506" s="1" t="str">
        <f>"애나 로웬하웁트 칭 지음;노고운 옮김"</f>
        <v>애나 로웬하웁트 칭 지음;노고운 옮김</v>
      </c>
      <c r="E506" s="1" t="str">
        <f>"현실문화(현실문화연구)"</f>
        <v>현실문화(현실문화연구)</v>
      </c>
      <c r="F506" s="1" t="str">
        <f>"543 p.:삽화;22 cm"</f>
        <v>543 p.:삽화;22 cm</v>
      </c>
      <c r="G506" s="1"/>
    </row>
    <row r="507" spans="1:7" x14ac:dyDescent="0.3">
      <c r="A507" s="1" t="str">
        <f>"종합자료실"</f>
        <v>종합자료실</v>
      </c>
      <c r="B507" s="1" t="str">
        <f>"813.6-이155ㅇ"</f>
        <v>813.6-이155ㅇ</v>
      </c>
      <c r="C507" s="1" t="str">
        <f>"여름을 한 입 베어 물었더니 : 이꽃님 장편소설"</f>
        <v>여름을 한 입 베어 물었더니 : 이꽃님 장편소설</v>
      </c>
      <c r="D507" s="1" t="str">
        <f>"이꽃님 지음"</f>
        <v>이꽃님 지음</v>
      </c>
      <c r="E507" s="1" t="str">
        <f>"문학동네"</f>
        <v>문학동네</v>
      </c>
      <c r="F507" s="1" t="str">
        <f>"192 p.;21 cm"</f>
        <v>192 p.;21 cm</v>
      </c>
      <c r="G507" s="1"/>
    </row>
    <row r="508" spans="1:7" x14ac:dyDescent="0.3">
      <c r="A508" s="1" t="str">
        <f>"종합자료실"</f>
        <v>종합자료실</v>
      </c>
      <c r="B508" s="1" t="str">
        <f>"813.6-최68215ㅁ"</f>
        <v>813.6-최68215ㅁ</v>
      </c>
      <c r="C508" s="1" t="str">
        <f>"마주  : 최은미 장편소설"</f>
        <v>마주  : 최은미 장편소설</v>
      </c>
      <c r="D508" s="1" t="str">
        <f>"최은미 지음"</f>
        <v>최은미 지음</v>
      </c>
      <c r="E508" s="1" t="str">
        <f>"창비"</f>
        <v>창비</v>
      </c>
      <c r="F508" s="1" t="str">
        <f>"318 p.;19 cm"</f>
        <v>318 p.;19 cm</v>
      </c>
      <c r="G508" s="1"/>
    </row>
    <row r="509" spans="1:7" x14ac:dyDescent="0.3">
      <c r="A509" s="1" t="str">
        <f>"종합자료실"</f>
        <v>종합자료실</v>
      </c>
      <c r="B509" s="1" t="str">
        <f>"650.99-김69ㅅ"</f>
        <v>650.99-김69ㅅ</v>
      </c>
      <c r="C509" s="1" t="str">
        <f>"살롱 드 경성  : 한국 근대사를 수놓은 천재 화가들"</f>
        <v>살롱 드 경성  : 한국 근대사를 수놓은 천재 화가들</v>
      </c>
      <c r="D509" s="1" t="str">
        <f>"김인혜 지음"</f>
        <v>김인혜 지음</v>
      </c>
      <c r="E509" s="1" t="str">
        <f>"해냄"</f>
        <v>해냄</v>
      </c>
      <c r="F509" s="1" t="str">
        <f>"394 p.:삽화(일부천연색), 초상;22 cm"</f>
        <v>394 p.:삽화(일부천연색), 초상;22 cm</v>
      </c>
      <c r="G509" s="1"/>
    </row>
    <row r="510" spans="1:7" x14ac:dyDescent="0.3">
      <c r="A510" s="1" t="str">
        <f>"종합자료실"</f>
        <v>종합자료실</v>
      </c>
      <c r="B510" s="1" t="str">
        <f>"409.11-민832ㅈ"</f>
        <v>409.11-민832ㅈ</v>
      </c>
      <c r="C510" s="1" t="str">
        <f>"조선이 만난 아인슈타인  : 100년 전 우리 조상들의 과학 탐사기"</f>
        <v>조선이 만난 아인슈타인  : 100년 전 우리 조상들의 과학 탐사기</v>
      </c>
      <c r="D510" s="1" t="str">
        <f>"민태기 지음"</f>
        <v>민태기 지음</v>
      </c>
      <c r="E510" s="1" t="str">
        <f>"위즈덤하우스"</f>
        <v>위즈덤하우스</v>
      </c>
      <c r="F510" s="1" t="str">
        <f>"316 p.:삽화(일부천연색), 초상;21 cm"</f>
        <v>316 p.:삽화(일부천연색), 초상;21 cm</v>
      </c>
      <c r="G510" s="1"/>
    </row>
    <row r="511" spans="1:7" x14ac:dyDescent="0.3">
      <c r="A511" s="1" t="str">
        <f>"종합자료실"</f>
        <v>종합자료실</v>
      </c>
      <c r="B511" s="1" t="str">
        <f>"814.6-은98ㄸ"</f>
        <v>814.6-은98ㄸ</v>
      </c>
      <c r="C511" s="1" t="str">
        <f>"또 못 버린 물건들  : 은희경 산문"</f>
        <v>또 못 버린 물건들  : 은희경 산문</v>
      </c>
      <c r="D511" s="1" t="str">
        <f>"은희경 지음"</f>
        <v>은희경 지음</v>
      </c>
      <c r="E511" s="1" t="str">
        <f>"난다"</f>
        <v>난다</v>
      </c>
      <c r="F511" s="1" t="str">
        <f>"245 p.;20 cm"</f>
        <v>245 p.;20 cm</v>
      </c>
      <c r="G511" s="1"/>
    </row>
    <row r="512" spans="1:7" x14ac:dyDescent="0.3">
      <c r="A512" s="1" t="str">
        <f>"종합자료실"</f>
        <v>종합자료실</v>
      </c>
      <c r="B512" s="1" t="str">
        <f>"904-김68ㅂ"</f>
        <v>904-김68ㅂ</v>
      </c>
      <c r="C512" s="1" t="str">
        <f>"백년 동안의 증언  : 간토대지진, 혐오와 국가폭력, 15엔 50전"</f>
        <v>백년 동안의 증언  : 간토대지진, 혐오와 국가폭력, 15엔 50전</v>
      </c>
      <c r="D512" s="1" t="str">
        <f>"김응교 지음"</f>
        <v>김응교 지음</v>
      </c>
      <c r="E512" s="1" t="str">
        <f>"책읽는고양이 :리수"</f>
        <v>책읽는고양이 :리수</v>
      </c>
      <c r="F512" s="1" t="str">
        <f>"279 p.:삽화, 초상;19 cm"</f>
        <v>279 p.:삽화, 초상;19 cm</v>
      </c>
      <c r="G512" s="1"/>
    </row>
    <row r="513" spans="1:7" x14ac:dyDescent="0.3">
      <c r="A513" s="1" t="str">
        <f>"종합자료실"</f>
        <v>종합자료실</v>
      </c>
      <c r="B513" s="1" t="str">
        <f>"842.66-놀231ㅇ"</f>
        <v>842.66-놀231ㅇ</v>
      </c>
      <c r="C513" s="1" t="str">
        <f>"오펜하이머 각본집 : 세상을 영원히 바꾸다"</f>
        <v>오펜하이머 각본집 : 세상을 영원히 바꾸다</v>
      </c>
      <c r="D513" s="1" t="str">
        <f>"크리스토퍼 놀란 지음"</f>
        <v>크리스토퍼 놀란 지음</v>
      </c>
      <c r="E513" s="1" t="str">
        <f>"허블"</f>
        <v>허블</v>
      </c>
      <c r="F513" s="1" t="str">
        <f>"276 p.;20 cm"</f>
        <v>276 p.;20 cm</v>
      </c>
      <c r="G513" s="1"/>
    </row>
    <row r="514" spans="1:7" x14ac:dyDescent="0.3">
      <c r="A514" s="1" t="str">
        <f>"종합자료실"</f>
        <v>종합자료실</v>
      </c>
      <c r="B514" s="1" t="str">
        <f>"325.211-카225ㅈ"</f>
        <v>325.211-카225ㅈ</v>
      </c>
      <c r="C514" s="1" t="str">
        <f>"집착의 법칙  : 마약중독자를 8000억 자산가로 만든 단 하나의 마인드셋"</f>
        <v>집착의 법칙  : 마약중독자를 8000억 자산가로 만든 단 하나의 마인드셋</v>
      </c>
      <c r="D514" s="1" t="str">
        <f>"그랜트 카돈 지음;최은아 옮김"</f>
        <v>그랜트 카돈 지음;최은아 옮김</v>
      </c>
      <c r="E514" s="1" t="str">
        <f>"부키"</f>
        <v>부키</v>
      </c>
      <c r="F514" s="1" t="str">
        <f>"376 p.;22 cm"</f>
        <v>376 p.;22 cm</v>
      </c>
      <c r="G514" s="1"/>
    </row>
    <row r="515" spans="1:7" x14ac:dyDescent="0.3">
      <c r="A515" s="1" t="str">
        <f>"종합자료실"</f>
        <v>종합자료실</v>
      </c>
      <c r="B515" s="1" t="str">
        <f>"600.04-조67ㅅ"</f>
        <v>600.04-조67ㅅ</v>
      </c>
      <c r="C515" s="1" t="str">
        <f>"삶은 예술로 빛난다  = Life shines with art  : 어떻게 살 것인가에 대한 가장 아름다운 대답"</f>
        <v>삶은 예술로 빛난다  = Life shines with art  : 어떻게 살 것인가에 대한 가장 아름다운 대답</v>
      </c>
      <c r="D515" s="1" t="str">
        <f>"조원재 지음"</f>
        <v>조원재 지음</v>
      </c>
      <c r="E515" s="1" t="str">
        <f>"다산초당 :다산북스"</f>
        <v>다산초당 :다산북스</v>
      </c>
      <c r="F515" s="1" t="str">
        <f>"335 p.:천연색삽화, 초상;22 cm"</f>
        <v>335 p.:천연색삽화, 초상;22 cm</v>
      </c>
      <c r="G515" s="1"/>
    </row>
    <row r="516" spans="1:7" x14ac:dyDescent="0.3">
      <c r="A516" s="1" t="str">
        <f>"종합자료실"</f>
        <v>종합자료실</v>
      </c>
      <c r="B516" s="1" t="str">
        <f>"813.6-정45ㄱ"</f>
        <v>813.6-정45ㄱ</v>
      </c>
      <c r="C516" s="1" t="str">
        <f>"고통에 관하여  = On suffering  : 정보라 장편소설"</f>
        <v>고통에 관하여  = On suffering  : 정보라 장편소설</v>
      </c>
      <c r="D516" s="1" t="str">
        <f>"정보라 지음"</f>
        <v>정보라 지음</v>
      </c>
      <c r="E516" s="1" t="str">
        <f>"다산북스 :다산책방"</f>
        <v>다산북스 :다산책방</v>
      </c>
      <c r="F516" s="1" t="str">
        <f>"338 p.;20 cm"</f>
        <v>338 p.;20 cm</v>
      </c>
      <c r="G516" s="1"/>
    </row>
    <row r="517" spans="1:7" x14ac:dyDescent="0.3">
      <c r="A517" s="1" t="str">
        <f>"종합자료실"</f>
        <v>종합자료실</v>
      </c>
      <c r="B517" s="1" t="str">
        <f>"404-다219ㅅ"</f>
        <v>404-다219ㅅ</v>
      </c>
      <c r="C517" s="1" t="str">
        <f>"세계 그 자체 : 현대 과학에 숨어 있는, 실재에 과한 여덟 가지 철학"</f>
        <v>세계 그 자체 : 현대 과학에 숨어 있는, 실재에 과한 여덟 가지 철학</v>
      </c>
      <c r="D517" s="1" t="str">
        <f>"울프 다니엘손 지음;노승영 옮김"</f>
        <v>울프 다니엘손 지음;노승영 옮김</v>
      </c>
      <c r="E517" s="1" t="str">
        <f>"동아시아"</f>
        <v>동아시아</v>
      </c>
      <c r="F517" s="1" t="str">
        <f>"258 p.;20 cm"</f>
        <v>258 p.;20 cm</v>
      </c>
      <c r="G517" s="1"/>
    </row>
    <row r="518" spans="1:7" x14ac:dyDescent="0.3">
      <c r="A518" s="1" t="str">
        <f>"종합자료실"</f>
        <v>종합자료실</v>
      </c>
      <c r="B518" s="1" t="str">
        <f>"321.504-희73ㅂ"</f>
        <v>321.504-희73ㅂ</v>
      </c>
      <c r="C518" s="1" t="str">
        <f>"베테랑의 몸  : 일의 흔적까지 자신이 된 이들에 대하여"</f>
        <v>베테랑의 몸  : 일의 흔적까지 자신이 된 이들에 대하여</v>
      </c>
      <c r="D518" s="1" t="str">
        <f>"희정 글;최형락 사진"</f>
        <v>희정 글;최형락 사진</v>
      </c>
      <c r="E518" s="1" t="str">
        <f>"한겨레출판 :한겨레엔"</f>
        <v>한겨레출판 :한겨레엔</v>
      </c>
      <c r="F518" s="1" t="str">
        <f>"365 p.:천연색삽화, 초상;20 cm"</f>
        <v>365 p.:천연색삽화, 초상;20 cm</v>
      </c>
      <c r="G518" s="1"/>
    </row>
    <row r="519" spans="1:7" x14ac:dyDescent="0.3">
      <c r="A519" s="1" t="str">
        <f>"종합자료실"</f>
        <v>종합자료실</v>
      </c>
      <c r="B519" s="1" t="str">
        <f>"321.329-홍69ㄹ"</f>
        <v>321.329-홍69ㄹ</v>
      </c>
      <c r="C519" s="1" t="str">
        <f>"루나의 전세역전  : 전세 사기 100% 충격 실화, 압류부터 공매까지"</f>
        <v>루나의 전세역전  : 전세 사기 100% 충격 실화, 압류부터 공매까지</v>
      </c>
      <c r="D519" s="1" t="str">
        <f>"홍인혜 글·그림"</f>
        <v>홍인혜 글·그림</v>
      </c>
      <c r="E519" s="1" t="str">
        <f>"세미콜론"</f>
        <v>세미콜론</v>
      </c>
      <c r="F519" s="1" t="str">
        <f>"253 p.:천연색삽화;20 cm"</f>
        <v>253 p.:천연색삽화;20 cm</v>
      </c>
      <c r="G519" s="1"/>
    </row>
    <row r="520" spans="1:7" x14ac:dyDescent="0.3">
      <c r="A520" s="1" t="str">
        <f>"종합자료실"</f>
        <v>종합자료실</v>
      </c>
      <c r="B520" s="1" t="str">
        <f>"811.608-문91ㅁ-589"</f>
        <v>811.608-문91ㅁ-589</v>
      </c>
      <c r="C520" s="1" t="str">
        <f>"촉진하는 밤"</f>
        <v>촉진하는 밤</v>
      </c>
      <c r="D520" s="1" t="str">
        <f>"김소연 지음"</f>
        <v>김소연 지음</v>
      </c>
      <c r="E520" s="1" t="str">
        <f>"문학과지성사"</f>
        <v>문학과지성사</v>
      </c>
      <c r="F520" s="1" t="str">
        <f>"176 p.:삽화;21 cm"</f>
        <v>176 p.:삽화;21 cm</v>
      </c>
      <c r="G520" s="1"/>
    </row>
    <row r="521" spans="1:7" x14ac:dyDescent="0.3">
      <c r="A521" s="1" t="str">
        <f>"종합자료실"</f>
        <v>종합자료실</v>
      </c>
      <c r="B521" s="1" t="str">
        <f>"843-발221ㅇ"</f>
        <v>843-발221ㅇ</v>
      </c>
      <c r="C521" s="1" t="str">
        <f>"6시 20분의 남자  : 데이비드 발다치 장편소설"</f>
        <v>6시 20분의 남자  : 데이비드 발다치 장편소설</v>
      </c>
      <c r="D521" s="1" t="str">
        <f>"데이비드 발다치 지음;허형은 옮김"</f>
        <v>데이비드 발다치 지음;허형은 옮김</v>
      </c>
      <c r="E521" s="1" t="str">
        <f>"북로드 :더난콘텐츠그룹"</f>
        <v>북로드 :더난콘텐츠그룹</v>
      </c>
      <c r="F521" s="1" t="str">
        <f>"542 p.;21 cm"</f>
        <v>542 p.;21 cm</v>
      </c>
      <c r="G521" s="1"/>
    </row>
    <row r="522" spans="1:7" x14ac:dyDescent="0.3">
      <c r="A522" s="1" t="str">
        <f>"종합자료실"</f>
        <v>종합자료실</v>
      </c>
      <c r="B522" s="1" t="str">
        <f>"802.4-고219ㅅ"</f>
        <v>802.4-고219ㅅ</v>
      </c>
      <c r="C522" s="1" t="str">
        <f>"상황과 이야기  : 에세이와 회고록, 자전적 글쓰기에 관하여"</f>
        <v>상황과 이야기  : 에세이와 회고록, 자전적 글쓰기에 관하여</v>
      </c>
      <c r="D522" s="1" t="str">
        <f>"비비언 고닉 글;이영아 옮김"</f>
        <v>비비언 고닉 글;이영아 옮김</v>
      </c>
      <c r="E522" s="1" t="str">
        <f>"마농지"</f>
        <v>마농지</v>
      </c>
      <c r="F522" s="1" t="str">
        <f>"200 p.;20 cm"</f>
        <v>200 p.;20 cm</v>
      </c>
      <c r="G522" s="1"/>
    </row>
    <row r="523" spans="1:7" x14ac:dyDescent="0.3">
      <c r="A523" s="1" t="str">
        <f>"종합자료실"</f>
        <v>종합자료실</v>
      </c>
      <c r="B523" s="1" t="str">
        <f>"818-김2216ㅇ"</f>
        <v>818-김2216ㅇ</v>
      </c>
      <c r="C523" s="1" t="str">
        <f>"우리는 조금씩 자란다  : 살아갈 힘이 되어주는 사랑의 말들"</f>
        <v>우리는 조금씩 자란다  : 살아갈 힘이 되어주는 사랑의 말들</v>
      </c>
      <c r="D523" s="1" t="str">
        <f>"김달님"</f>
        <v>김달님</v>
      </c>
      <c r="E523" s="1" t="str">
        <f>"미디어창비"</f>
        <v>미디어창비</v>
      </c>
      <c r="F523" s="1" t="str">
        <f>"272 p.;20 cm"</f>
        <v>272 p.;20 cm</v>
      </c>
      <c r="G523" s="1"/>
    </row>
    <row r="524" spans="1:7" x14ac:dyDescent="0.3">
      <c r="A524" s="1" t="str">
        <f>"종합자료실"</f>
        <v>종합자료실</v>
      </c>
      <c r="B524" s="1" t="str">
        <f>"409.9-노69바"</f>
        <v>409.9-노69바</v>
      </c>
      <c r="C524" s="1" t="str">
        <f>"(미래에서 온 남자) 폰 노이만 : 20세기 가장 혁명적인 인간, 그리고 그가 만든 21세기"</f>
        <v>(미래에서 온 남자) 폰 노이만 : 20세기 가장 혁명적인 인간, 그리고 그가 만든 21세기</v>
      </c>
      <c r="D524" s="1" t="str">
        <f>"아난요 바타차리야 지음;박병철 옮김"</f>
        <v>아난요 바타차리야 지음;박병철 옮김</v>
      </c>
      <c r="E524" s="1" t="str">
        <f>"웅진지식하우스:웅진씽크빅"</f>
        <v>웅진지식하우스:웅진씽크빅</v>
      </c>
      <c r="F524" s="1" t="str">
        <f>"574 p.;22 cm"</f>
        <v>574 p.;22 cm</v>
      </c>
      <c r="G524" s="1"/>
    </row>
    <row r="525" spans="1:7" x14ac:dyDescent="0.3">
      <c r="A525" s="1" t="str">
        <f>"종합자료실"</f>
        <v>종합자료실</v>
      </c>
      <c r="B525" s="1" t="str">
        <f>"338.3-클233ㄴ"</f>
        <v>338.3-클233ㄴ</v>
      </c>
      <c r="C525" s="1" t="str">
        <f>"눈부시게 불완전한  : 극복과 치유 너머의 장애 정치"</f>
        <v>눈부시게 불완전한  : 극복과 치유 너머의 장애 정치</v>
      </c>
      <c r="D525" s="1" t="str">
        <f>"일라이 클레어 지음;하은빈 옮김"</f>
        <v>일라이 클레어 지음;하은빈 옮김</v>
      </c>
      <c r="E525" s="1" t="str">
        <f>"동아시아"</f>
        <v>동아시아</v>
      </c>
      <c r="F525" s="1" t="str">
        <f>"375 p.;21 cm"</f>
        <v>375 p.;21 cm</v>
      </c>
      <c r="G525" s="1"/>
    </row>
    <row r="526" spans="1:7" x14ac:dyDescent="0.3">
      <c r="A526" s="1" t="str">
        <f>"종합자료실"</f>
        <v>종합자료실</v>
      </c>
      <c r="B526" s="1" t="str">
        <f>"838-요59ㄴ"</f>
        <v>838-요59ㄴ</v>
      </c>
      <c r="C526" s="1" t="str">
        <f>"나만 그런 게 아니었어"</f>
        <v>나만 그런 게 아니었어</v>
      </c>
      <c r="D526" s="1" t="str">
        <f>"요시타케 신스케 지음;이소담 옮김"</f>
        <v>요시타케 신스케 지음;이소담 옮김</v>
      </c>
      <c r="E526" s="1" t="str">
        <f>"김영사"</f>
        <v>김영사</v>
      </c>
      <c r="F526" s="1" t="str">
        <f>"144 p.:삽화;20 cm"</f>
        <v>144 p.:삽화;20 cm</v>
      </c>
      <c r="G526" s="1"/>
    </row>
    <row r="527" spans="1:7" x14ac:dyDescent="0.3">
      <c r="A527" s="1" t="str">
        <f>"종합자료실"</f>
        <v>종합자료실</v>
      </c>
      <c r="B527" s="1" t="str">
        <f>"320.911-김211ㅌ-2024"</f>
        <v>320.911-김211ㅌ-2024</v>
      </c>
      <c r="C527" s="1" t="str">
        <f>"트렌드 코리아 2024 : 2024 대한민국 소비트렌드 전망"</f>
        <v>트렌드 코리아 2024 : 2024 대한민국 소비트렌드 전망</v>
      </c>
      <c r="D527" s="1" t="str">
        <f>"김난도 [외] 지음"</f>
        <v>김난도 [외] 지음</v>
      </c>
      <c r="E527" s="1" t="str">
        <f>"미래의창"</f>
        <v>미래의창</v>
      </c>
      <c r="F527" s="1" t="str">
        <f>"424 p.:삽화, 도표;23cm"</f>
        <v>424 p.:삽화, 도표;23cm</v>
      </c>
      <c r="G527" s="1"/>
    </row>
    <row r="528" spans="1:7" x14ac:dyDescent="0.3">
      <c r="A528" s="1" t="str">
        <f>"종합자료실"</f>
        <v>종합자료실</v>
      </c>
      <c r="B528" s="1" t="str">
        <f>"813.6-기238ㄲ"</f>
        <v>813.6-기238ㄲ</v>
      </c>
      <c r="C528" s="1" t="str">
        <f>"꿈 훔치는 도둑"</f>
        <v>꿈 훔치는 도둑</v>
      </c>
      <c r="D528" s="1" t="str">
        <f>"기르답 지음"</f>
        <v>기르답 지음</v>
      </c>
      <c r="E528" s="1" t="str">
        <f>"씨엘비북스 :콘텐츠랩블루 :타인의취향"</f>
        <v>씨엘비북스 :콘텐츠랩블루 :타인의취향</v>
      </c>
      <c r="F528" s="1" t="str">
        <f>"443 p.;20 cm"</f>
        <v>443 p.;20 cm</v>
      </c>
      <c r="G528" s="1"/>
    </row>
    <row r="529" spans="1:7" x14ac:dyDescent="0.3">
      <c r="A529" s="1" t="str">
        <f>"종합자료실"</f>
        <v>종합자료실</v>
      </c>
      <c r="B529" s="1" t="str">
        <f>"598.4-엄64ㄴ"</f>
        <v>598.4-엄64ㄴ</v>
      </c>
      <c r="C529" s="1" t="str">
        <f>"노는 만큼 배우는 아이들  : 5세부터 10세까지 초등 공부로 이어지는 엄마표 놀공법"</f>
        <v>노는 만큼 배우는 아이들  : 5세부터 10세까지 초등 공부로 이어지는 엄마표 놀공법</v>
      </c>
      <c r="D529" s="1" t="str">
        <f>"엄예정 지음"</f>
        <v>엄예정 지음</v>
      </c>
      <c r="E529" s="1" t="str">
        <f>"시공사"</f>
        <v>시공사</v>
      </c>
      <c r="F529" s="1" t="str">
        <f>"251 p.;21 cm"</f>
        <v>251 p.;21 cm</v>
      </c>
      <c r="G529" s="1"/>
    </row>
    <row r="530" spans="1:7" x14ac:dyDescent="0.3">
      <c r="A530" s="1" t="str">
        <f>"종합자료실"</f>
        <v>종합자료실</v>
      </c>
      <c r="B530" s="1" t="str">
        <f>"598.1-이72ㅅ"</f>
        <v>598.1-이72ㅅ</v>
      </c>
      <c r="C530" s="1" t="str">
        <f>"새로운 어린이가 온다  : 교사와 학부모가 알아야 할 디지털 시대 어린이의 발견"</f>
        <v>새로운 어린이가 온다  : 교사와 학부모가 알아야 할 디지털 시대 어린이의 발견</v>
      </c>
      <c r="D530" s="1" t="str">
        <f>"이재복 지음"</f>
        <v>이재복 지음</v>
      </c>
      <c r="E530" s="1" t="str">
        <f>"출판놀이"</f>
        <v>출판놀이</v>
      </c>
      <c r="F530" s="1" t="str">
        <f>"227 p.;21 cm"</f>
        <v>227 p.;21 cm</v>
      </c>
      <c r="G530" s="1"/>
    </row>
    <row r="531" spans="1:7" x14ac:dyDescent="0.3">
      <c r="A531" s="1" t="str">
        <f>"종합자료실"</f>
        <v>종합자료실</v>
      </c>
      <c r="B531" s="1" t="str">
        <f>"808.9-송57ㅇ"</f>
        <v>808.9-송57ㅇ</v>
      </c>
      <c r="C531" s="1" t="str">
        <f>"우리에게 우주가 필요한 이유 : 아동문학과 소수자 재현"</f>
        <v>우리에게 우주가 필요한 이유 : 아동문학과 소수자 재현</v>
      </c>
      <c r="D531" s="1" t="str">
        <f>"송수연 지음"</f>
        <v>송수연 지음</v>
      </c>
      <c r="E531" s="1" t="str">
        <f>"문학동네"</f>
        <v>문학동네</v>
      </c>
      <c r="F531" s="1" t="str">
        <f>"243 p.;23 cm"</f>
        <v>243 p.;23 cm</v>
      </c>
      <c r="G531" s="1"/>
    </row>
    <row r="532" spans="1:7" x14ac:dyDescent="0.3">
      <c r="A532" s="1" t="str">
        <f>"종합자료실"</f>
        <v>종합자료실</v>
      </c>
      <c r="B532" s="1" t="str">
        <f>"327.87-이9421ㅇ"</f>
        <v>327.87-이9421ㅇ</v>
      </c>
      <c r="C532" s="1" t="str">
        <f>"(주식과 비교하면 더 쉽게 이해되는) 아파트 투자는 사이클이다 : 주식과 비교하면 더 쉽게 이해되는"</f>
        <v>(주식과 비교하면 더 쉽게 이해되는) 아파트 투자는 사이클이다 : 주식과 비교하면 더 쉽게 이해되는</v>
      </c>
      <c r="D532" s="1" t="str">
        <f>"이현철 지음"</f>
        <v>이현철 지음</v>
      </c>
      <c r="E532" s="1" t="str">
        <f>"여의도책방"</f>
        <v>여의도책방</v>
      </c>
      <c r="F532" s="1" t="str">
        <f>"306 p.:삽화, 도표;23 cm"</f>
        <v>306 p.:삽화, 도표;23 cm</v>
      </c>
      <c r="G532" s="1"/>
    </row>
    <row r="533" spans="1:7" x14ac:dyDescent="0.3">
      <c r="A533" s="1" t="str">
        <f>"종합자료실"</f>
        <v>종합자료실</v>
      </c>
      <c r="B533" s="1" t="str">
        <f>"327.856-강96ㅍ"</f>
        <v>327.856-강96ㅍ</v>
      </c>
      <c r="C533" s="1" t="str">
        <f>"평생 저축밖에 몰랐던 66세 임 여사, 주식으로 돈 벌다  : 따라만 하면 복리로 불어나는 무적의 주식 통장"</f>
        <v>평생 저축밖에 몰랐던 66세 임 여사, 주식으로 돈 벌다  : 따라만 하면 복리로 불어나는 무적의 주식 통장</v>
      </c>
      <c r="D533" s="1" t="str">
        <f>"강환국 지음"</f>
        <v>강환국 지음</v>
      </c>
      <c r="E533" s="1" t="str">
        <f>"Page2(페이지2북스)"</f>
        <v>Page2(페이지2북스)</v>
      </c>
      <c r="F533" s="1" t="str">
        <f>"375 p.:삽화, 도표;23 cm"</f>
        <v>375 p.:삽화, 도표;23 cm</v>
      </c>
      <c r="G533" s="1"/>
    </row>
    <row r="534" spans="1:7" x14ac:dyDescent="0.3">
      <c r="A534" s="1" t="str">
        <f>"종합자료실"</f>
        <v>종합자료실</v>
      </c>
      <c r="B534" s="1" t="str">
        <f>"813.6-이346ㅇ"</f>
        <v>813.6-이346ㅇ</v>
      </c>
      <c r="C534" s="1" t="str">
        <f>"일단 시작해 봐!  : 이명랑 청소년 소설"</f>
        <v>일단 시작해 봐!  : 이명랑 청소년 소설</v>
      </c>
      <c r="D534" s="1" t="str">
        <f>"이명랑 지음;뻑새 그림"</f>
        <v>이명랑 지음;뻑새 그림</v>
      </c>
      <c r="E534" s="1" t="str">
        <f>"애플북스 :비전비엔피"</f>
        <v>애플북스 :비전비엔피</v>
      </c>
      <c r="F534" s="1" t="str">
        <f>"156 p.:삽화;20 cm"</f>
        <v>156 p.:삽화;20 cm</v>
      </c>
      <c r="G534" s="1"/>
    </row>
    <row r="535" spans="1:7" x14ac:dyDescent="0.3">
      <c r="A535" s="1" t="str">
        <f>"종합자료실"</f>
        <v>종합자료실</v>
      </c>
      <c r="B535" s="1" t="str">
        <f>"029.4-김94ㅇ"</f>
        <v>029.4-김94ㅇ</v>
      </c>
      <c r="C535" s="1" t="str">
        <f>"야금야금 그림책 잘 읽는 법"</f>
        <v>야금야금 그림책 잘 읽는 법</v>
      </c>
      <c r="D535" s="1" t="str">
        <f>"김혜진 지음"</f>
        <v>김혜진 지음</v>
      </c>
      <c r="E535" s="1" t="str">
        <f>"학교도서관저널"</f>
        <v>학교도서관저널</v>
      </c>
      <c r="F535" s="1" t="str">
        <f>"200 p.:삽화;20 cm"</f>
        <v>200 p.:삽화;20 cm</v>
      </c>
      <c r="G535" s="1"/>
    </row>
    <row r="536" spans="1:7" x14ac:dyDescent="0.3">
      <c r="A536" s="1" t="str">
        <f>"종합자료실"</f>
        <v>종합자료실</v>
      </c>
      <c r="B536" s="1" t="str">
        <f>"189.1-홀239ㅈ"</f>
        <v>189.1-홀239ㅈ</v>
      </c>
      <c r="C536" s="1" t="str">
        <f>"자기결단력  : 미루고 후회하는 사이클을 끊어내는 5단계 기술"</f>
        <v>자기결단력  : 미루고 후회하는 사이클을 끊어내는 5단계 기술</v>
      </c>
      <c r="D536" s="1" t="str">
        <f>"피터 홀린스 지음;한원희 옮김"</f>
        <v>피터 홀린스 지음;한원희 옮김</v>
      </c>
      <c r="E536" s="1" t="str">
        <f>"좋은생각(좋은생각사람들)"</f>
        <v>좋은생각(좋은생각사람들)</v>
      </c>
      <c r="F536" s="1" t="str">
        <f>"253 p.;21 cm"</f>
        <v>253 p.;21 cm</v>
      </c>
      <c r="G536" s="1"/>
    </row>
    <row r="537" spans="1:7" x14ac:dyDescent="0.3">
      <c r="A537" s="1" t="str">
        <f>"종합자료실"</f>
        <v>종합자료실</v>
      </c>
      <c r="B537" s="1" t="str">
        <f>"199.1-장53ㄱ"</f>
        <v>199.1-장53ㄱ</v>
      </c>
      <c r="C537" s="1" t="str">
        <f>"그때그때 가볍게 산다"</f>
        <v>그때그때 가볍게 산다</v>
      </c>
      <c r="D537" s="1" t="str">
        <f>"장성숙 지음"</f>
        <v>장성숙 지음</v>
      </c>
      <c r="E537" s="1" t="str">
        <f>"새벽세시 :스몰빅미디어"</f>
        <v>새벽세시 :스몰빅미디어</v>
      </c>
      <c r="F537" s="1" t="str">
        <f>"223 p.;19 cm"</f>
        <v>223 p.;19 cm</v>
      </c>
      <c r="G537" s="1"/>
    </row>
    <row r="538" spans="1:7" x14ac:dyDescent="0.3">
      <c r="A538" s="1" t="str">
        <f>"종합자료실"</f>
        <v>종합자료실</v>
      </c>
      <c r="B538" s="1" t="str">
        <f>"189.1-로49ㅌ"</f>
        <v>189.1-로49ㅌ</v>
      </c>
      <c r="C538" s="1" t="str">
        <f>"토니 로빈스 거인의 생각법  : 내 안의 무한 능력을 꺼내는 힘"</f>
        <v>토니 로빈스 거인의 생각법  : 내 안의 무한 능력을 꺼내는 힘</v>
      </c>
      <c r="D538" s="1" t="str">
        <f>"토니 로빈스 지음;도희진 옮김"</f>
        <v>토니 로빈스 지음;도희진 옮김</v>
      </c>
      <c r="E538" s="1" t="str">
        <f>"RHK(알에이치코리아)"</f>
        <v>RHK(알에이치코리아)</v>
      </c>
      <c r="F538" s="1" t="str">
        <f>"365 p.;21 cm"</f>
        <v>365 p.;21 cm</v>
      </c>
      <c r="G538" s="1"/>
    </row>
    <row r="539" spans="1:7" x14ac:dyDescent="0.3">
      <c r="A539" s="1" t="str">
        <f>"종합자료실"</f>
        <v>종합자료실</v>
      </c>
      <c r="B539" s="1" t="str">
        <f>"818-김685일"</f>
        <v>818-김685일</v>
      </c>
      <c r="C539" s="1" t="str">
        <f>"1cm+me 일 센티 플러스 미 : 매일 더 나은 1cm의 나를 찾는 크리에이티브한 여정"</f>
        <v>1cm+me 일 센티 플러스 미 : 매일 더 나은 1cm의 나를 찾는 크리에이티브한 여정</v>
      </c>
      <c r="D539" s="1" t="str">
        <f>"김은주 글;양현정 그림"</f>
        <v>김은주 글;양현정 그림</v>
      </c>
      <c r="E539" s="1" t="str">
        <f>"허밍버드"</f>
        <v>허밍버드</v>
      </c>
      <c r="F539" s="1" t="str">
        <f>"[299] p.:삽화;19 cm"</f>
        <v>[299] p.:삽화;19 cm</v>
      </c>
      <c r="G539" s="1"/>
    </row>
    <row r="540" spans="1:7" x14ac:dyDescent="0.3">
      <c r="A540" s="1" t="str">
        <f>"종합자료실"</f>
        <v>종합자료실</v>
      </c>
      <c r="B540" s="1" t="str">
        <f>"476.1-도829ㅇ"</f>
        <v>476.1-도829ㅇ</v>
      </c>
      <c r="C540" s="1" t="str">
        <f>"이기적 유전자"</f>
        <v>이기적 유전자</v>
      </c>
      <c r="D540" s="1" t="str">
        <f>"리처드 도킨스 지음;홍영남,이상임 옮김"</f>
        <v>리처드 도킨스 지음;홍영남,이상임 옮김</v>
      </c>
      <c r="E540" s="1" t="str">
        <f>"을유문화사"</f>
        <v>을유문화사</v>
      </c>
      <c r="F540" s="1" t="str">
        <f>"630 p.;21 cm"</f>
        <v>630 p.;21 cm</v>
      </c>
      <c r="G540" s="1"/>
    </row>
    <row r="541" spans="1:7" x14ac:dyDescent="0.3">
      <c r="A541" s="1" t="str">
        <f>"종합자료실"</f>
        <v>종합자료실</v>
      </c>
      <c r="B541" s="1" t="str">
        <f>"843-코43ㅂ"</f>
        <v>843-코43ㅂ</v>
      </c>
      <c r="C541" s="1" t="str">
        <f>"보이 인 더 하우스"</f>
        <v>보이 인 더 하우스</v>
      </c>
      <c r="D541" s="1" t="str">
        <f>"할런 코벤 지음;노진선 옮김"</f>
        <v>할런 코벤 지음;노진선 옮김</v>
      </c>
      <c r="E541" s="1" t="str">
        <f>"문학수첩"</f>
        <v>문학수첩</v>
      </c>
      <c r="F541" s="1" t="str">
        <f>"463 p.;22 cm"</f>
        <v>463 p.;22 cm</v>
      </c>
      <c r="G541" s="1"/>
    </row>
    <row r="542" spans="1:7" x14ac:dyDescent="0.3">
      <c r="A542" s="1" t="str">
        <f>"종합자료실"</f>
        <v>종합자료실</v>
      </c>
      <c r="B542" s="1" t="str">
        <f>"818-아37코-58"</f>
        <v>818-아37코-58</v>
      </c>
      <c r="C542" s="1" t="str">
        <f>"아무튼, 잠수"</f>
        <v>아무튼, 잠수</v>
      </c>
      <c r="D542" s="1" t="str">
        <f>"하미나 지음"</f>
        <v>하미나 지음</v>
      </c>
      <c r="E542" s="1" t="str">
        <f>"위고"</f>
        <v>위고</v>
      </c>
      <c r="F542" s="1" t="str">
        <f>"199 p.;18 cm"</f>
        <v>199 p.;18 cm</v>
      </c>
      <c r="G542" s="1"/>
    </row>
    <row r="543" spans="1:7" x14ac:dyDescent="0.3">
      <c r="A543" s="1" t="str">
        <f>"종합자료실"</f>
        <v>종합자료실</v>
      </c>
      <c r="B543" s="1" t="str">
        <f>"818-아37코-57"</f>
        <v>818-아37코-57</v>
      </c>
      <c r="C543" s="1" t="str">
        <f>"아무튼, 친구"</f>
        <v>아무튼, 친구</v>
      </c>
      <c r="D543" s="1" t="str">
        <f>"양다솔 지음"</f>
        <v>양다솔 지음</v>
      </c>
      <c r="E543" s="1" t="str">
        <f>"위고"</f>
        <v>위고</v>
      </c>
      <c r="F543" s="1" t="str">
        <f>"145 p.;18 cm"</f>
        <v>145 p.;18 cm</v>
      </c>
      <c r="G543" s="1"/>
    </row>
    <row r="544" spans="1:7" x14ac:dyDescent="0.3">
      <c r="A544" s="1" t="str">
        <f>"종합자료실"</f>
        <v>종합자료실</v>
      </c>
      <c r="B544" s="1" t="str">
        <f>"513.8904-이51ㅇ"</f>
        <v>513.8904-이51ㅇ</v>
      </c>
      <c r="C544" s="1" t="str">
        <f>"유쾌하게 조울증 건너기  : 스물아홉 살 X 조울증 X ADHD의 날뛰는 투병기"</f>
        <v>유쾌하게 조울증 건너기  : 스물아홉 살 X 조울증 X ADHD의 날뛰는 투병기</v>
      </c>
      <c r="D544" s="1" t="str">
        <f>"이사고 지음"</f>
        <v>이사고 지음</v>
      </c>
      <c r="E544" s="1" t="str">
        <f>"행성B(행성비)"</f>
        <v>행성B(행성비)</v>
      </c>
      <c r="F544" s="1" t="str">
        <f>"199 p.;19 cm"</f>
        <v>199 p.;19 cm</v>
      </c>
      <c r="G544" s="1"/>
    </row>
    <row r="545" spans="1:7" x14ac:dyDescent="0.3">
      <c r="A545" s="1" t="str">
        <f>"종합자료실"</f>
        <v>종합자료실</v>
      </c>
      <c r="B545" s="1" t="str">
        <f>"513.89904-이59ㄴ"</f>
        <v>513.89904-이59ㄴ</v>
      </c>
      <c r="C545" s="1" t="str">
        <f>"나는 조울증 환자다"</f>
        <v>나는 조울증 환자다</v>
      </c>
      <c r="D545" s="1" t="str">
        <f>"이시백 지음"</f>
        <v>이시백 지음</v>
      </c>
      <c r="E545" s="1" t="str">
        <f>"메이킹북스"</f>
        <v>메이킹북스</v>
      </c>
      <c r="F545" s="1" t="str">
        <f>"119 p.;19 cm"</f>
        <v>119 p.;19 cm</v>
      </c>
      <c r="G545" s="1"/>
    </row>
    <row r="546" spans="1:7" x14ac:dyDescent="0.3">
      <c r="A546" s="1" t="str">
        <f>"종합자료실"</f>
        <v>종합자료실</v>
      </c>
      <c r="B546" s="1" t="str">
        <f>"189.1-변79ㅁ"</f>
        <v>189.1-변79ㅁ</v>
      </c>
      <c r="C546" s="1" t="str">
        <f>"미래의 나를 구하러 갑니다  : 후회는 줄이고 실행력은 높이는 자기조절의 심리학"</f>
        <v>미래의 나를 구하러 갑니다  : 후회는 줄이고 실행력은 높이는 자기조절의 심리학</v>
      </c>
      <c r="D546" s="1" t="str">
        <f>"변지영 지음"</f>
        <v>변지영 지음</v>
      </c>
      <c r="E546" s="1" t="str">
        <f>"더 퀘스트 :길벗"</f>
        <v>더 퀘스트 :길벗</v>
      </c>
      <c r="F546" s="1" t="str">
        <f>"240 p.;21 cm"</f>
        <v>240 p.;21 cm</v>
      </c>
      <c r="G546" s="1"/>
    </row>
    <row r="547" spans="1:7" x14ac:dyDescent="0.3">
      <c r="A547" s="1" t="str">
        <f>"종합자료실"</f>
        <v>종합자료실</v>
      </c>
      <c r="B547" s="1" t="str">
        <f>"325.211-하676ㄱ"</f>
        <v>325.211-하676ㄱ</v>
      </c>
      <c r="C547" s="1" t="str">
        <f>"그레이트 마인드셋 : 세계 최고 대가들의 인생을 바꾼 결정적 순간"</f>
        <v>그레이트 마인드셋 : 세계 최고 대가들의 인생을 바꾼 결정적 순간</v>
      </c>
      <c r="D547" s="1" t="str">
        <f>"루이스 하우즈 지음;정지현 옮김"</f>
        <v>루이스 하우즈 지음;정지현 옮김</v>
      </c>
      <c r="E547" s="1" t="str">
        <f>"포레스트북스"</f>
        <v>포레스트북스</v>
      </c>
      <c r="F547" s="1" t="str">
        <f>"447 p.;23 cm"</f>
        <v>447 p.;23 cm</v>
      </c>
      <c r="G547" s="1"/>
    </row>
    <row r="548" spans="1:7" x14ac:dyDescent="0.3">
      <c r="A548" s="1" t="str">
        <f>"종합자료실"</f>
        <v>종합자료실</v>
      </c>
      <c r="B548" s="1" t="str">
        <f>"598.123-강67ㅇ"</f>
        <v>598.123-강67ㅇ</v>
      </c>
      <c r="C548" s="1" t="str">
        <f>"우리 아이 감각 운동 처방전  : 바른 자세, 집중력, 자기 조절력을 만드는 정확한 운동 자극"</f>
        <v>우리 아이 감각 운동 처방전  : 바른 자세, 집중력, 자기 조절력을 만드는 정확한 운동 자극</v>
      </c>
      <c r="D548" s="1" t="str">
        <f>"강윤경,김원철 지음"</f>
        <v>강윤경,김원철 지음</v>
      </c>
      <c r="E548" s="1" t="str">
        <f>"블루무스"</f>
        <v>블루무스</v>
      </c>
      <c r="F548" s="1" t="str">
        <f>"251 p.:천연색삽화;25 cm"</f>
        <v>251 p.:천연색삽화;25 cm</v>
      </c>
      <c r="G548" s="1"/>
    </row>
    <row r="549" spans="1:7" x14ac:dyDescent="0.3">
      <c r="A549" s="1" t="str">
        <f>"종합자료실"</f>
        <v>종합자료실</v>
      </c>
      <c r="B549" s="1" t="str">
        <f>"740.7-누239ㅇ"</f>
        <v>740.7-누239ㅇ</v>
      </c>
      <c r="C549" s="1" t="str">
        <f>"엄마표 영어, 7주 안에 완성합니다"</f>
        <v>엄마표 영어, 7주 안에 완성합니다</v>
      </c>
      <c r="D549" s="1" t="str">
        <f>"누리보듬(한진희) 지음"</f>
        <v>누리보듬(한진희) 지음</v>
      </c>
      <c r="E549" s="1" t="str">
        <f>"청림 Life:청림"</f>
        <v>청림 Life:청림</v>
      </c>
      <c r="F549" s="1" t="str">
        <f>"219 p.:삽화;23 cm"</f>
        <v>219 p.:삽화;23 cm</v>
      </c>
      <c r="G549" s="1"/>
    </row>
    <row r="550" spans="1:7" x14ac:dyDescent="0.3">
      <c r="A550" s="1" t="str">
        <f>"종합자료실"</f>
        <v>종합자료실</v>
      </c>
      <c r="B550" s="1" t="str">
        <f>"863-모84ㅂ"</f>
        <v>863-모84ㅂ</v>
      </c>
      <c r="C550" s="1" t="str">
        <f>"보석 · 목걸이 외"</f>
        <v>보석 · 목걸이 외</v>
      </c>
      <c r="D550" s="1" t="str">
        <f>"기 드 모파상 지음;최내경 옮김"</f>
        <v>기 드 모파상 지음;최내경 옮김</v>
      </c>
      <c r="E550" s="1" t="str">
        <f>"책읽는고양이"</f>
        <v>책읽는고양이</v>
      </c>
      <c r="F550" s="1" t="str">
        <f>"176 p.;19 cm"</f>
        <v>176 p.;19 cm</v>
      </c>
      <c r="G550" s="1"/>
    </row>
    <row r="551" spans="1:7" x14ac:dyDescent="0.3">
      <c r="A551" s="1" t="str">
        <f>"종합자료실"</f>
        <v>종합자료실</v>
      </c>
      <c r="B551" s="1" t="str">
        <f>"863-모84ㅇ"</f>
        <v>863-모84ㅇ</v>
      </c>
      <c r="C551" s="1" t="str">
        <f>"어느 인생  : 초라한 진실"</f>
        <v>어느 인생  : 초라한 진실</v>
      </c>
      <c r="D551" s="1" t="str">
        <f>"기 드 모파상 지음;백선희 옮김"</f>
        <v>기 드 모파상 지음;백선희 옮김</v>
      </c>
      <c r="E551" s="1" t="str">
        <f>"새움"</f>
        <v>새움</v>
      </c>
      <c r="F551" s="1" t="str">
        <f>"384 p.;20 cm"</f>
        <v>384 p.;20 cm</v>
      </c>
      <c r="G551" s="1"/>
    </row>
    <row r="552" spans="1:7" x14ac:dyDescent="0.3">
      <c r="A552" s="1" t="str">
        <f>"종합자료실"</f>
        <v>종합자료실</v>
      </c>
      <c r="B552" s="1" t="str">
        <f>"598.18-한94ㄷ"</f>
        <v>598.18-한94ㄷ</v>
      </c>
      <c r="C552" s="1" t="str">
        <f>"도시맘은 어떻게 시골에서 영재를 키웠나  : 시골 유학으로 영재원에 합격한 릴리의 학습 비법"</f>
        <v>도시맘은 어떻게 시골에서 영재를 키웠나  : 시골 유학으로 영재원에 합격한 릴리의 학습 비법</v>
      </c>
      <c r="D552" s="1" t="str">
        <f>"한혜진,김지우 지음"</f>
        <v>한혜진,김지우 지음</v>
      </c>
      <c r="E552" s="1" t="str">
        <f>"봄름"</f>
        <v>봄름</v>
      </c>
      <c r="F552" s="1" t="str">
        <f>"191 p.:천연색삽화;21 cm"</f>
        <v>191 p.:천연색삽화;21 cm</v>
      </c>
      <c r="G552" s="1"/>
    </row>
    <row r="553" spans="1:7" x14ac:dyDescent="0.3">
      <c r="A553" s="1" t="str">
        <f>"종합자료실"</f>
        <v>종합자료실</v>
      </c>
      <c r="B553" s="1" t="str">
        <f>"513.899-루237ㄴ"</f>
        <v>513.899-루237ㄴ</v>
      </c>
      <c r="C553" s="1" t="str">
        <f>"내 기분은 변화하는 중입니다 : 두 얼굴의 감정, 조울증 이야기"</f>
        <v>내 기분은 변화하는 중입니다 : 두 얼굴의 감정, 조울증 이야기</v>
      </c>
      <c r="D553" s="1" t="str">
        <f>"루비 루 지음;한나라 옮김"</f>
        <v>루비 루 지음;한나라 옮김</v>
      </c>
      <c r="E553" s="1" t="str">
        <f>"생각속의집"</f>
        <v>생각속의집</v>
      </c>
      <c r="F553" s="1" t="str">
        <f>"159 p:삽화;24 cm"</f>
        <v>159 p:삽화;24 cm</v>
      </c>
      <c r="G553" s="1"/>
    </row>
    <row r="554" spans="1:7" x14ac:dyDescent="0.3">
      <c r="A554" s="1" t="str">
        <f>"종합자료실"</f>
        <v>종합자료실</v>
      </c>
      <c r="B554" s="1" t="str">
        <f>"818-홍59ㅅ"</f>
        <v>818-홍59ㅅ</v>
      </c>
      <c r="C554" s="1" t="str">
        <f>"생의 마지막 날까지  : 세계적 명상가 홍신자의 인생 수업"</f>
        <v>생의 마지막 날까지  : 세계적 명상가 홍신자의 인생 수업</v>
      </c>
      <c r="D554" s="1" t="str">
        <f>"홍신자 지음"</f>
        <v>홍신자 지음</v>
      </c>
      <c r="E554" s="1" t="str">
        <f>"다산책방 :다산북스"</f>
        <v>다산책방 :다산북스</v>
      </c>
      <c r="F554" s="1" t="str">
        <f>"262 p.:천연색삽화;21 cm"</f>
        <v>262 p.:천연색삽화;21 cm</v>
      </c>
      <c r="G554" s="1"/>
    </row>
    <row r="555" spans="1:7" x14ac:dyDescent="0.3">
      <c r="A555" s="1" t="str">
        <f>"종합자료실"</f>
        <v>종합자료실</v>
      </c>
      <c r="B555" s="1" t="str">
        <f>"811.6-임579ㅇ"</f>
        <v>811.6-임579ㅇ</v>
      </c>
      <c r="C555" s="1" t="str">
        <f>"악몽을 수집하는 아이  : 임수현 시집"</f>
        <v>악몽을 수집하는 아이  : 임수현 시집</v>
      </c>
      <c r="D555" s="1" t="str">
        <f>"임수현 지음"</f>
        <v>임수현 지음</v>
      </c>
      <c r="E555" s="1" t="str">
        <f>"창비 :창비교육"</f>
        <v>창비 :창비교육</v>
      </c>
      <c r="F555" s="1" t="str">
        <f>"125 p.;21 cm"</f>
        <v>125 p.;21 cm</v>
      </c>
      <c r="G555" s="1"/>
    </row>
    <row r="556" spans="1:7" x14ac:dyDescent="0.3">
      <c r="A556" s="1" t="str">
        <f>"종합자료실"</f>
        <v>종합자료실</v>
      </c>
      <c r="B556" s="1" t="str">
        <f>"327.8-메238ㅇ"</f>
        <v>327.8-메238ㅇ</v>
      </c>
      <c r="C556" s="1" t="str">
        <f>"1%를 읽는 힘  : 세상의 정보를 연결해서 기회를 포착하는 생각 혁신"</f>
        <v>1%를 읽는 힘  : 세상의 정보를 연결해서 기회를 포착하는 생각 혁신</v>
      </c>
      <c r="D556" s="1" t="str">
        <f>"메르 지음"</f>
        <v>메르 지음</v>
      </c>
      <c r="E556" s="1" t="str">
        <f>"Tornado(토네이도) :토네이도미디어그룹"</f>
        <v>Tornado(토네이도) :토네이도미디어그룹</v>
      </c>
      <c r="F556" s="1" t="str">
        <f>"315 p.;cm"</f>
        <v>315 p.;cm</v>
      </c>
      <c r="G556" s="1"/>
    </row>
    <row r="557" spans="1:7" x14ac:dyDescent="0.3">
      <c r="A557" s="1" t="str">
        <f>"종합자료실"</f>
        <v>종합자료실</v>
      </c>
      <c r="B557" s="1" t="str">
        <f>"818-박693ㅁ"</f>
        <v>818-박693ㅁ</v>
      </c>
      <c r="C557" s="1" t="str">
        <f>"맹순 씨네 아파트에 온 새"</f>
        <v>맹순 씨네 아파트에 온 새</v>
      </c>
      <c r="D557" s="1" t="str">
        <f>"박임자 글;정맹순 그림"</f>
        <v>박임자 글;정맹순 그림</v>
      </c>
      <c r="E557" s="1" t="str">
        <f>"피스북스"</f>
        <v>피스북스</v>
      </c>
      <c r="F557" s="1" t="str">
        <f>"195 p.:천연색삽화;21 cm"</f>
        <v>195 p.:천연색삽화;21 cm</v>
      </c>
      <c r="G557" s="1"/>
    </row>
    <row r="558" spans="1:7" x14ac:dyDescent="0.3">
      <c r="A558" s="1" t="str">
        <f>"종합자료실"</f>
        <v>종합자료실</v>
      </c>
      <c r="B558" s="1" t="str">
        <f>"823.7-찬57ㅇ"</f>
        <v>823.7-찬57ㅇ</v>
      </c>
      <c r="C558" s="1" t="str">
        <f>"오향거리  : 찬쉐 장편소설"</f>
        <v>오향거리  : 찬쉐 장편소설</v>
      </c>
      <c r="D558" s="1" t="str">
        <f>"찬쉐 지음;문현선 옮김"</f>
        <v>찬쉐 지음;문현선 옮김</v>
      </c>
      <c r="E558" s="1" t="str">
        <f>"문학동네"</f>
        <v>문학동네</v>
      </c>
      <c r="F558" s="1" t="str">
        <f>"479 p.;21 cm"</f>
        <v>479 p.;21 cm</v>
      </c>
      <c r="G558" s="1"/>
    </row>
    <row r="559" spans="1:7" x14ac:dyDescent="0.3">
      <c r="A559" s="1" t="str">
        <f>"종합자료실"</f>
        <v>종합자료실</v>
      </c>
      <c r="B559" s="1" t="str">
        <f>"813.6-김79ㅍ"</f>
        <v>813.6-김79ㅍ</v>
      </c>
      <c r="C559" s="1" t="str">
        <f>"풍수전쟁  : 김진명 장편소설"</f>
        <v>풍수전쟁  : 김진명 장편소설</v>
      </c>
      <c r="D559" s="1" t="str">
        <f>"김진명 지음"</f>
        <v>김진명 지음</v>
      </c>
      <c r="E559" s="1" t="str">
        <f>"이타(이타북스)"</f>
        <v>이타(이타북스)</v>
      </c>
      <c r="F559" s="1" t="str">
        <f>"304 p.;20 cm"</f>
        <v>304 p.;20 cm</v>
      </c>
      <c r="G559" s="1"/>
    </row>
    <row r="560" spans="1:7" x14ac:dyDescent="0.3">
      <c r="A560" s="1" t="str">
        <f>"종합자료실"</f>
        <v>종합자료실</v>
      </c>
      <c r="B560" s="1" t="str">
        <f>"525.4077-포238ㅅ"</f>
        <v>525.4077-포238ㅅ</v>
      </c>
      <c r="C560" s="1" t="str">
        <f>"(작지만 알차게 키우는) 소규모 유기농을 위한 안내서"</f>
        <v>(작지만 알차게 키우는) 소규모 유기농을 위한 안내서</v>
      </c>
      <c r="D560" s="1" t="str">
        <f>"장-마르탱 포르티에 지음;마리 빌로도 그림;박나리 옮김"</f>
        <v>장-마르탱 포르티에 지음;마리 빌로도 그림;박나리 옮김</v>
      </c>
      <c r="E560" s="1" t="str">
        <f>"목수책방"</f>
        <v>목수책방</v>
      </c>
      <c r="F560" s="1" t="str">
        <f>"483 p.:삽화;20 cm"</f>
        <v>483 p.:삽화;20 cm</v>
      </c>
      <c r="G560" s="1"/>
    </row>
    <row r="561" spans="1:7" x14ac:dyDescent="0.3">
      <c r="A561" s="1" t="str">
        <f>"종합자료실"</f>
        <v>종합자료실</v>
      </c>
      <c r="B561" s="1" t="str">
        <f>"813.8-김79ㅊ"</f>
        <v>813.8-김79ㅊ</v>
      </c>
      <c r="C561" s="1" t="str">
        <f>"친구 하기 딱 좋은 나이"</f>
        <v>친구 하기 딱 좋은 나이</v>
      </c>
      <c r="D561" s="1" t="str">
        <f>"김진형 글;영민 그림"</f>
        <v>김진형 글;영민 그림</v>
      </c>
      <c r="E561" s="1" t="str">
        <f>"개암나무"</f>
        <v>개암나무</v>
      </c>
      <c r="F561" s="1" t="str">
        <f>"68 p.:천연색삽화;26 cm"</f>
        <v>68 p.:천연색삽화;26 cm</v>
      </c>
      <c r="G561" s="1"/>
    </row>
    <row r="562" spans="1:7" x14ac:dyDescent="0.3">
      <c r="A562" s="1" t="str">
        <f>"종합자료실"</f>
        <v>종합자료실</v>
      </c>
      <c r="B562" s="1" t="str">
        <f>"813.8-전68ㅈ"</f>
        <v>813.8-전68ㅈ</v>
      </c>
      <c r="C562" s="1" t="str">
        <f>"지각하고 싶은 날"</f>
        <v>지각하고 싶은 날</v>
      </c>
      <c r="D562" s="1" t="str">
        <f>"전은지 글;정문주 그림"</f>
        <v>전은지 글;정문주 그림</v>
      </c>
      <c r="E562" s="1" t="str">
        <f>"그린북"</f>
        <v>그린북</v>
      </c>
      <c r="F562" s="1" t="str">
        <f>"109 p.:천연색삽화;22 cm"</f>
        <v>109 p.:천연색삽화;22 cm</v>
      </c>
      <c r="G562" s="1"/>
    </row>
    <row r="563" spans="1:7" x14ac:dyDescent="0.3">
      <c r="A563" s="1" t="str">
        <f>"종합자료실"</f>
        <v>종합자료실</v>
      </c>
      <c r="B563" s="1" t="str">
        <f>"235.1-이73ㅅ"</f>
        <v>235.1-이73ㅅ</v>
      </c>
      <c r="C563" s="1" t="str">
        <f>"(원전 중심 구속사 설교) 성경 해석에서 설교 작성까지  : 성경 해석을 통해 이해하는 하나님의 뜻과 구원의 역사"</f>
        <v>(원전 중심 구속사 설교) 성경 해석에서 설교 작성까지  : 성경 해석을 통해 이해하는 하나님의 뜻과 구원의 역사</v>
      </c>
      <c r="D563" s="1" t="str">
        <f>"이정렬 지음"</f>
        <v>이정렬 지음</v>
      </c>
      <c r="E563" s="1" t="str">
        <f>"북랩"</f>
        <v>북랩</v>
      </c>
      <c r="F563" s="1" t="str">
        <f>"296 p.;23 cm"</f>
        <v>296 p.;23 cm</v>
      </c>
      <c r="G563" s="1"/>
    </row>
    <row r="564" spans="1:7" x14ac:dyDescent="0.3">
      <c r="A564" s="1" t="str">
        <f>"종합자료실"</f>
        <v>종합자료실</v>
      </c>
      <c r="B564" s="1" t="str">
        <f>"233.08-구55ㄱ-Ⅱ"</f>
        <v>233.08-구55ㄱ-Ⅱ</v>
      </c>
      <c r="C564" s="1" t="str">
        <f>"구속사 성경해석과 설교  : 시편. Ⅱ"</f>
        <v>구속사 성경해석과 설교  : 시편. Ⅱ</v>
      </c>
      <c r="D564" s="1" t="str">
        <f>"구속사성경신학연구원 편"</f>
        <v>구속사성경신학연구원 편</v>
      </c>
      <c r="E564" s="1" t="str">
        <f>"하늘기획"</f>
        <v>하늘기획</v>
      </c>
      <c r="F564" s="1" t="str">
        <f>"354 p.;23 cm"</f>
        <v>354 p.;23 cm</v>
      </c>
      <c r="G564" s="1"/>
    </row>
    <row r="565" spans="1:7" x14ac:dyDescent="0.3">
      <c r="A565" s="1" t="str">
        <f>"종합자료실"</f>
        <v>종합자료실</v>
      </c>
      <c r="B565" s="1" t="str">
        <f>"233.08-구55ㄱ-Ⅲ"</f>
        <v>233.08-구55ㄱ-Ⅲ</v>
      </c>
      <c r="C565" s="1" t="str">
        <f>"구속사 성경해석과 설교  : 시편/. Ⅲ"</f>
        <v>구속사 성경해석과 설교  : 시편/. Ⅲ</v>
      </c>
      <c r="D565" s="1" t="str">
        <f>";구속사성경신학연구원 편"</f>
        <v>;구속사성경신학연구원 편</v>
      </c>
      <c r="E565" s="1" t="str">
        <f>"하늘기획"</f>
        <v>하늘기획</v>
      </c>
      <c r="F565" s="1" t="str">
        <f>"427 p.;23 cm"</f>
        <v>427 p.;23 cm</v>
      </c>
      <c r="G565" s="1"/>
    </row>
    <row r="566" spans="1:7" x14ac:dyDescent="0.3">
      <c r="A566" s="1" t="str">
        <f>"종합자료실"</f>
        <v>종합자료실</v>
      </c>
      <c r="B566" s="1" t="str">
        <f>"309.111-윤64ㅁ"</f>
        <v>309.111-윤64ㅁ</v>
      </c>
      <c r="C566" s="1" t="str">
        <f>"모든 현재의 시작, 1990년대"</f>
        <v>모든 현재의 시작, 1990년대</v>
      </c>
      <c r="D566" s="1" t="str">
        <f>"윤여일 지음"</f>
        <v>윤여일 지음</v>
      </c>
      <c r="E566" s="1" t="str">
        <f>"돌베개"</f>
        <v>돌베개</v>
      </c>
      <c r="F566" s="1" t="str">
        <f>"340 p.;21 cm"</f>
        <v>340 p.;21 cm</v>
      </c>
      <c r="G566" s="1"/>
    </row>
    <row r="567" spans="1:7" x14ac:dyDescent="0.3">
      <c r="A567" s="1" t="str">
        <f>"종합자료실"</f>
        <v>종합자료실</v>
      </c>
      <c r="B567" s="1" t="str">
        <f>"813.6-부64ㅅ"</f>
        <v>813.6-부64ㅅ</v>
      </c>
      <c r="C567" s="1" t="str">
        <f>"소리를 삼킨 소년 :  부연정 장편소설"</f>
        <v>소리를 삼킨 소년 :  부연정 장편소설</v>
      </c>
      <c r="D567" s="1" t="str">
        <f>"부연정 지음"</f>
        <v>부연정 지음</v>
      </c>
      <c r="E567" s="1" t="str">
        <f>"자음과모음"</f>
        <v>자음과모음</v>
      </c>
      <c r="F567" s="1" t="str">
        <f>"227 p.;21 cm"</f>
        <v>227 p.;21 cm</v>
      </c>
      <c r="G567" s="1"/>
    </row>
    <row r="568" spans="1:7" x14ac:dyDescent="0.3">
      <c r="A568" s="1" t="str">
        <f>"종합자료실"</f>
        <v>종합자료실</v>
      </c>
      <c r="B568" s="1" t="str">
        <f>"594.5-김55ㄱ"</f>
        <v>594.5-김55ㄱ</v>
      </c>
      <c r="C568" s="1" t="str">
        <f>"김소형의 맛있는 보양 밥상  : 혈당 잡고 면역 올리는 사계절 본초 집밥"</f>
        <v>김소형의 맛있는 보양 밥상  : 혈당 잡고 면역 올리는 사계절 본초 집밥</v>
      </c>
      <c r="D568" s="1" t="str">
        <f>"김소형 지음"</f>
        <v>김소형 지음</v>
      </c>
      <c r="E568" s="1" t="str">
        <f>"용감한까치"</f>
        <v>용감한까치</v>
      </c>
      <c r="F568" s="1" t="str">
        <f>"255 p.:천연색삽화;24 cm"</f>
        <v>255 p.:천연색삽화;24 cm</v>
      </c>
      <c r="G568" s="1"/>
    </row>
    <row r="569" spans="1:7" x14ac:dyDescent="0.3">
      <c r="A569" s="1" t="str">
        <f>"종합자료실"</f>
        <v>종합자료실</v>
      </c>
      <c r="B569" s="1" t="str">
        <f>"337.2-판838ㄴ"</f>
        <v>337.2-판838ㄴ</v>
      </c>
      <c r="C569" s="1" t="str">
        <f>"남성 해방  = Why feminism is good for men"</f>
        <v>남성 해방  = Why feminism is good for men</v>
      </c>
      <c r="D569" s="1" t="str">
        <f>"옌스 판트리흐트 지음;김현지 옮김"</f>
        <v>옌스 판트리흐트 지음;김현지 옮김</v>
      </c>
      <c r="E569" s="1" t="str">
        <f>"노닐다"</f>
        <v>노닐다</v>
      </c>
      <c r="F569" s="1" t="str">
        <f>"208 p.:삽화;21 cm"</f>
        <v>208 p.:삽화;21 cm</v>
      </c>
      <c r="G569" s="1"/>
    </row>
    <row r="570" spans="1:7" x14ac:dyDescent="0.3">
      <c r="A570" s="1" t="str">
        <f>"종합자료실"</f>
        <v>종합자료실</v>
      </c>
      <c r="B570" s="1" t="str">
        <f>"848-조18ㅈ"</f>
        <v>848-조18ㅈ</v>
      </c>
      <c r="C570" s="1" t="str">
        <f>"전쟁 같은 맛"</f>
        <v>전쟁 같은 맛</v>
      </c>
      <c r="D570" s="1" t="str">
        <f>"그레이스 M. 조 지음;주해연 옮김"</f>
        <v>그레이스 M. 조 지음;주해연 옮김</v>
      </c>
      <c r="E570" s="1" t="str">
        <f>"글항아리"</f>
        <v>글항아리</v>
      </c>
      <c r="F570" s="1" t="str">
        <f>"463 p.;20 cm"</f>
        <v>463 p.;20 cm</v>
      </c>
      <c r="G570" s="1"/>
    </row>
    <row r="571" spans="1:7" x14ac:dyDescent="0.3">
      <c r="A571" s="1" t="str">
        <f>"종합자료실"</f>
        <v>종합자료실</v>
      </c>
      <c r="B571" s="1" t="str">
        <f>"987.9029-알233ㅇ"</f>
        <v>987.9029-알233ㅇ</v>
      </c>
      <c r="C571" s="1" t="str">
        <f>"인듀어런스 : 어니스트 섀클런의 위대한 실패"</f>
        <v>인듀어런스 : 어니스트 섀클런의 위대한 실패</v>
      </c>
      <c r="D571" s="1" t="str">
        <f>"캐롤라인 알렉산더 글;프랭크 헐리 사진;김세중 옮김"</f>
        <v>캐롤라인 알렉산더 글;프랭크 헐리 사진;김세중 옮김</v>
      </c>
      <c r="E571" s="1" t="str">
        <f>"뜨인돌"</f>
        <v>뜨인돌</v>
      </c>
      <c r="F571" s="1" t="str">
        <f>"173 p.:사진;24 cm"</f>
        <v>173 p.:사진;24 cm</v>
      </c>
      <c r="G571" s="1"/>
    </row>
    <row r="572" spans="1:7" x14ac:dyDescent="0.3">
      <c r="A572" s="1" t="str">
        <f>"종합자료실"</f>
        <v>종합자료실</v>
      </c>
      <c r="B572" s="1" t="str">
        <f>"911.059-하33ㅎ"</f>
        <v>911.059-하33ㅎ</v>
      </c>
      <c r="C572" s="1" t="str">
        <f>"(초판본)하멜 표류기 : 1668년 오리지널 초판본 표지디자인"</f>
        <v>(초판본)하멜 표류기 : 1668년 오리지널 초판본 표지디자인</v>
      </c>
      <c r="D572" s="1" t="str">
        <f>"헨드릭 하멜 지음;유동익 옮김"</f>
        <v>헨드릭 하멜 지음;유동익 옮김</v>
      </c>
      <c r="E572" s="1" t="str">
        <f>"더스토리"</f>
        <v>더스토리</v>
      </c>
      <c r="F572" s="1" t="str">
        <f>"144 p.:삽화;19 cm"</f>
        <v>144 p.:삽화;19 cm</v>
      </c>
      <c r="G572" s="1"/>
    </row>
    <row r="573" spans="1:7" x14ac:dyDescent="0.3">
      <c r="A573" s="1" t="str">
        <f>"종합자료실"</f>
        <v>종합자료실</v>
      </c>
      <c r="B573" s="1" t="str">
        <f>"981.202-김53ㅈ-2"</f>
        <v>981.202-김53ㅈ-2</v>
      </c>
      <c r="C573" s="1" t="str">
        <f>"(김성곤의)중국한시기행 : 강남·유배길 편. 2"</f>
        <v>(김성곤의)중국한시기행 : 강남·유배길 편. 2</v>
      </c>
      <c r="D573" s="1" t="str">
        <f>"김성곤 지음"</f>
        <v>김성곤 지음</v>
      </c>
      <c r="E573" s="1" t="str">
        <f>"김영사"</f>
        <v>김영사</v>
      </c>
      <c r="F573" s="1" t="str">
        <f>"347 p.:천연색삽화, 초상;23 cm"</f>
        <v>347 p.:천연색삽화, 초상;23 cm</v>
      </c>
      <c r="G573" s="1"/>
    </row>
    <row r="574" spans="1:7" x14ac:dyDescent="0.3">
      <c r="A574" s="1" t="str">
        <f>"종합자료실"</f>
        <v>종합자료실</v>
      </c>
      <c r="B574" s="1" t="str">
        <f>"813.6-조67ㅎ"</f>
        <v>813.6-조67ㅎ</v>
      </c>
      <c r="C574" s="1" t="str">
        <f>"하면 좀 어떤 사이"</f>
        <v>하면 좀 어떤 사이</v>
      </c>
      <c r="D574" s="1" t="str">
        <f>"조우리,김중미,조규미,허진희,김해원 지음"</f>
        <v>조우리,김중미,조규미,허진희,김해원 지음</v>
      </c>
      <c r="E574" s="1" t="str">
        <f>"낮은산"</f>
        <v>낮은산</v>
      </c>
      <c r="F574" s="1" t="str">
        <f>"211 p.;20 cm"</f>
        <v>211 p.;20 cm</v>
      </c>
      <c r="G574" s="1"/>
    </row>
    <row r="575" spans="1:7" x14ac:dyDescent="0.3">
      <c r="A575" s="1" t="str">
        <f>"종합자료실"</f>
        <v>종합자료실</v>
      </c>
      <c r="B575" s="1" t="str">
        <f>"511.1813-레69ㅇ"</f>
        <v>511.1813-레69ㅇ</v>
      </c>
      <c r="C575" s="1" t="str">
        <f>"운동화 신은 뇌"</f>
        <v>운동화 신은 뇌</v>
      </c>
      <c r="D575" s="1" t="str">
        <f>"존 레이티,에릭 헤이거먼 [공] 지음;이상현 옮김"</f>
        <v>존 레이티,에릭 헤이거먼 [공] 지음;이상현 옮김</v>
      </c>
      <c r="E575" s="1" t="str">
        <f>"녹색지팡이&amp;프레스"</f>
        <v>녹색지팡이&amp;프레스</v>
      </c>
      <c r="F575" s="1" t="str">
        <f>"352 p.;23 cm"</f>
        <v>352 p.;23 cm</v>
      </c>
      <c r="G575" s="1"/>
    </row>
    <row r="576" spans="1:7" x14ac:dyDescent="0.3">
      <c r="A576" s="1" t="str">
        <f>"종합자료실"</f>
        <v>종합자료실</v>
      </c>
      <c r="B576" s="1" t="str">
        <f>"189.2-김79ㅁ"</f>
        <v>189.2-김79ㅁ</v>
      </c>
      <c r="C576" s="1" t="str">
        <f>"모녀의 세계 : 사랑한 만큼 상처 주고, 가까운 만큼 원망스러운"</f>
        <v>모녀의 세계 : 사랑한 만큼 상처 주고, 가까운 만큼 원망스러운</v>
      </c>
      <c r="D576" s="1" t="str">
        <f>"김지윤 지음"</f>
        <v>김지윤 지음</v>
      </c>
      <c r="E576" s="1" t="str">
        <f>"은행나무"</f>
        <v>은행나무</v>
      </c>
      <c r="F576" s="1" t="str">
        <f>"280 p.:천연색삽화;21 cm"</f>
        <v>280 p.:천연색삽화;21 cm</v>
      </c>
      <c r="G576" s="1"/>
    </row>
    <row r="577" spans="1:7" x14ac:dyDescent="0.3">
      <c r="A577" s="1" t="str">
        <f>"종합자료실"</f>
        <v>종합자료실</v>
      </c>
      <c r="B577" s="1" t="str">
        <f>"813.6-현19ㅈ-1"</f>
        <v>813.6-현19ㅈ-1</v>
      </c>
      <c r="C577" s="1" t="str">
        <f>"제주도우다 : 현기영 장편소설. 1"</f>
        <v>제주도우다 : 현기영 장편소설. 1</v>
      </c>
      <c r="D577" s="1" t="str">
        <f>"현기영 지음"</f>
        <v>현기영 지음</v>
      </c>
      <c r="E577" s="1" t="str">
        <f>"창비"</f>
        <v>창비</v>
      </c>
      <c r="F577" s="1" t="str">
        <f>"380 p.;19 cm"</f>
        <v>380 p.;19 cm</v>
      </c>
      <c r="G577" s="1"/>
    </row>
    <row r="578" spans="1:7" x14ac:dyDescent="0.3">
      <c r="A578" s="1" t="str">
        <f>"종합자료실"</f>
        <v>종합자료실</v>
      </c>
      <c r="B578" s="1" t="str">
        <f>"813.6-현19ㅈ-2"</f>
        <v>813.6-현19ㅈ-2</v>
      </c>
      <c r="C578" s="1" t="str">
        <f>"제주도우다 : 현기영 장편소설. 2"</f>
        <v>제주도우다 : 현기영 장편소설. 2</v>
      </c>
      <c r="D578" s="1" t="str">
        <f>"현기영 지음"</f>
        <v>현기영 지음</v>
      </c>
      <c r="E578" s="1" t="str">
        <f>"창비"</f>
        <v>창비</v>
      </c>
      <c r="F578" s="1" t="str">
        <f>"360 p.;19 cm"</f>
        <v>360 p.;19 cm</v>
      </c>
      <c r="G578" s="1"/>
    </row>
    <row r="579" spans="1:7" x14ac:dyDescent="0.3">
      <c r="A579" s="1" t="str">
        <f>"종합자료실"</f>
        <v>종합자료실</v>
      </c>
      <c r="B579" s="1" t="str">
        <f>"813.6-현19ㅈ-3"</f>
        <v>813.6-현19ㅈ-3</v>
      </c>
      <c r="C579" s="1" t="str">
        <f>"제주도우다 : 현기영 장편소설. 3"</f>
        <v>제주도우다 : 현기영 장편소설. 3</v>
      </c>
      <c r="D579" s="1" t="str">
        <f>"현기영 지음"</f>
        <v>현기영 지음</v>
      </c>
      <c r="E579" s="1" t="str">
        <f>"창비"</f>
        <v>창비</v>
      </c>
      <c r="F579" s="1" t="str">
        <f>"364 p.;19 cm"</f>
        <v>364 p.;19 cm</v>
      </c>
      <c r="G579" s="1"/>
    </row>
    <row r="580" spans="1:7" x14ac:dyDescent="0.3">
      <c r="A580" s="1" t="str">
        <f>"종합자료실"</f>
        <v>종합자료실</v>
      </c>
      <c r="B580" s="1" t="str">
        <f>"234.12-카53ㅇ"</f>
        <v>234.12-카53ㅇ</v>
      </c>
      <c r="C580" s="1" t="str">
        <f>"웨스트민스터 총회의 율법과 복음  : 앤서니 버지스의 언약신학과 율법과 복음의 관계"</f>
        <v>웨스트민스터 총회의 율법과 복음  : 앤서니 버지스의 언약신학과 율법과 복음의 관계</v>
      </c>
      <c r="D580" s="1" t="str">
        <f>"스티븐 J. 카셀리 지음;황의무 옮김"</f>
        <v>스티븐 J. 카셀리 지음;황의무 옮김</v>
      </c>
      <c r="E580" s="1" t="str">
        <f>"기독교문서선교회"</f>
        <v>기독교문서선교회</v>
      </c>
      <c r="F580" s="1" t="str">
        <f>"263 p.;23 cm"</f>
        <v>263 p.;23 cm</v>
      </c>
      <c r="G580" s="1"/>
    </row>
    <row r="581" spans="1:7" x14ac:dyDescent="0.3">
      <c r="A581" s="1" t="str">
        <f>"종합자료실"</f>
        <v>종합자료실</v>
      </c>
      <c r="B581" s="1" t="str">
        <f>"231.17-호838ㅇ"</f>
        <v>231.17-호838ㅇ</v>
      </c>
      <c r="C581" s="1" t="str">
        <f>"언약신학"</f>
        <v>언약신학</v>
      </c>
      <c r="D581" s="1" t="str">
        <f>"마이클 호튼 지음;백금산 옮김"</f>
        <v>마이클 호튼 지음;백금산 옮김</v>
      </c>
      <c r="E581" s="1" t="str">
        <f>"부흥과개혁사"</f>
        <v>부흥과개혁사</v>
      </c>
      <c r="F581" s="1" t="str">
        <f>"287 p.;23 cm"</f>
        <v>287 p.;23 cm</v>
      </c>
      <c r="G581" s="1"/>
    </row>
    <row r="582" spans="1:7" x14ac:dyDescent="0.3">
      <c r="A582" s="1" t="str">
        <f>"종합자료실"</f>
        <v>종합자료실</v>
      </c>
      <c r="B582" s="1" t="str">
        <f>"189.1-슈831ㄴ"</f>
        <v>189.1-슈831ㄴ</v>
      </c>
      <c r="C582" s="1" t="str">
        <f>"나만 모른다, 내가 잘하고 있다는 걸  : 나의 자존감을 보살피는 심리학"</f>
        <v>나만 모른다, 내가 잘하고 있다는 걸  : 나의 자존감을 보살피는 심리학</v>
      </c>
      <c r="D582" s="1" t="str">
        <f>"슈테파니 슈탈 지음;김시형 옮김"</f>
        <v>슈테파니 슈탈 지음;김시형 옮김</v>
      </c>
      <c r="E582" s="1" t="str">
        <f>"갈매나무"</f>
        <v>갈매나무</v>
      </c>
      <c r="F582" s="1" t="str">
        <f>"307 p.;21 cm"</f>
        <v>307 p.;21 cm</v>
      </c>
      <c r="G582" s="1"/>
    </row>
    <row r="583" spans="1:7" x14ac:dyDescent="0.3">
      <c r="A583" s="1" t="str">
        <f>"종합자료실"</f>
        <v>종합자료실</v>
      </c>
      <c r="B583" s="1" t="str">
        <f>"450-힐822ㄱ"</f>
        <v>450-힐822ㄱ</v>
      </c>
      <c r="C583" s="1" t="str">
        <f>"그랜드캐니언, 오래된 지구의 기념비  : 노아 홍수가 그랜드캐니언을 설명할 수 있을까?"</f>
        <v>그랜드캐니언, 오래된 지구의 기념비  : 노아 홍수가 그랜드캐니언을 설명할 수 있을까?</v>
      </c>
      <c r="D583" s="1" t="str">
        <f>"캐럴 힐,그렉 데이비슨,팀 헬블,웨인 래니,조엘 더프,데이비드 엘리엇,스티븐 모시어,랠프 스티얼리,브라이언 탭,로저 윈스,켄 올게머스 지음;캐럴 힐,그렉 데이비슨,팀 헬블,웨인 래니 엮음;노동래 옮김"</f>
        <v>캐럴 힐,그렉 데이비슨,팀 헬블,웨인 래니,조엘 더프,데이비드 엘리엇,스티븐 모시어,랠프 스티얼리,브라이언 탭,로저 윈스,켄 올게머스 지음;캐럴 힐,그렉 데이비슨,팀 헬블,웨인 래니 엮음;노동래 옮김</v>
      </c>
      <c r="E583" s="1" t="str">
        <f>"새물결플러스"</f>
        <v>새물결플러스</v>
      </c>
      <c r="F583" s="1" t="str">
        <f>"263 p.:천연색삽화, 초상;29 cm"</f>
        <v>263 p.:천연색삽화, 초상;29 cm</v>
      </c>
      <c r="G583" s="1"/>
    </row>
    <row r="584" spans="1:7" x14ac:dyDescent="0.3">
      <c r="A584" s="1" t="str">
        <f>"종합자료실"</f>
        <v>종합자료실</v>
      </c>
      <c r="B584" s="1" t="str">
        <f>"219.2-강211ㄱ-3"</f>
        <v>219.2-강211ㄱ-3</v>
      </c>
      <c r="C584" s="1" t="str">
        <f>"(강남길의 명화와 함께 후루룩 읽는) 그리스 로마 신화. 3"</f>
        <v>(강남길의 명화와 함께 후루룩 읽는) 그리스 로마 신화. 3</v>
      </c>
      <c r="D584" s="1" t="str">
        <f>"강남길 지음"</f>
        <v>강남길 지음</v>
      </c>
      <c r="E584" s="1" t="str">
        <f>"DELPHI(델피스튜디오)"</f>
        <v>DELPHI(델피스튜디오)</v>
      </c>
      <c r="F584" s="1" t="str">
        <f>"484 p.:천연색삽화;23 cm"</f>
        <v>484 p.:천연색삽화;23 cm</v>
      </c>
      <c r="G584" s="1"/>
    </row>
    <row r="585" spans="1:7" x14ac:dyDescent="0.3">
      <c r="A585" s="1" t="str">
        <f>"종합자료실"</f>
        <v>종합자료실</v>
      </c>
      <c r="B585" s="1" t="str">
        <f>"657.1-토35ㄴ-5"</f>
        <v>657.1-토35ㄴ-5</v>
      </c>
      <c r="C585" s="1" t="str">
        <f>"나는 신기한 박물관에 출근한다. 5"</f>
        <v>나는 신기한 박물관에 출근한다. 5</v>
      </c>
      <c r="D585" s="1" t="str">
        <f>"Tomo Sawara 저;나민형 역"</f>
        <v>Tomo Sawara 저;나민형 역</v>
      </c>
      <c r="E585" s="1" t="str">
        <f>"학산문화사"</f>
        <v>학산문화사</v>
      </c>
      <c r="F585" s="1" t="str">
        <f>"192 p.:전부삽화;20 cm"</f>
        <v>192 p.:전부삽화;20 cm</v>
      </c>
      <c r="G585" s="1"/>
    </row>
    <row r="586" spans="1:7" x14ac:dyDescent="0.3">
      <c r="A586" s="1" t="str">
        <f>"종합자료실"</f>
        <v>종합자료실</v>
      </c>
      <c r="B586" s="1" t="str">
        <f>"657.1-토35ㄴ-6"</f>
        <v>657.1-토35ㄴ-6</v>
      </c>
      <c r="C586" s="1" t="str">
        <f>"나는 신기한 박물관에 출근한다. 6"</f>
        <v>나는 신기한 박물관에 출근한다. 6</v>
      </c>
      <c r="D586" s="1" t="str">
        <f>"Tomo Sawara 저;나민형 역"</f>
        <v>Tomo Sawara 저;나민형 역</v>
      </c>
      <c r="E586" s="1" t="str">
        <f>"학산문화사"</f>
        <v>학산문화사</v>
      </c>
      <c r="F586" s="1" t="str">
        <f>"192 p.:전부삽화;20 cm"</f>
        <v>192 p.:전부삽화;20 cm</v>
      </c>
      <c r="G586" s="1"/>
    </row>
    <row r="587" spans="1:7" x14ac:dyDescent="0.3">
      <c r="A587" s="1" t="str">
        <f>"종합자료실"</f>
        <v>종합자료실</v>
      </c>
      <c r="B587" s="1" t="str">
        <f>"657.1-토35ㄴ-7"</f>
        <v>657.1-토35ㄴ-7</v>
      </c>
      <c r="C587" s="1" t="str">
        <f>"나는 신기한 박물관에 출근한다. 7"</f>
        <v>나는 신기한 박물관에 출근한다. 7</v>
      </c>
      <c r="D587" s="1" t="str">
        <f>"Tomo Sawara 저;나민형 역"</f>
        <v>Tomo Sawara 저;나민형 역</v>
      </c>
      <c r="E587" s="1" t="str">
        <f>"학산문화사"</f>
        <v>학산문화사</v>
      </c>
      <c r="F587" s="1" t="str">
        <f>"192 p.:전부삽화;20 cm"</f>
        <v>192 p.:전부삽화;20 cm</v>
      </c>
      <c r="G587" s="1"/>
    </row>
    <row r="588" spans="1:7" x14ac:dyDescent="0.3">
      <c r="A588" s="1" t="str">
        <f>"종합자료실"</f>
        <v>종합자료실</v>
      </c>
      <c r="B588" s="1" t="str">
        <f>"657.1-토35ㄴ-8"</f>
        <v>657.1-토35ㄴ-8</v>
      </c>
      <c r="C588" s="1" t="str">
        <f>"나는 신기한 박물관에 출근한다. 8"</f>
        <v>나는 신기한 박물관에 출근한다. 8</v>
      </c>
      <c r="D588" s="1" t="str">
        <f>"Tomo Sawara 저;나민형 역"</f>
        <v>Tomo Sawara 저;나민형 역</v>
      </c>
      <c r="E588" s="1" t="str">
        <f>"학산문화사"</f>
        <v>학산문화사</v>
      </c>
      <c r="F588" s="1" t="str">
        <f>"192 p.:전부삽화;20 cm"</f>
        <v>192 p.:전부삽화;20 cm</v>
      </c>
      <c r="G588" s="1"/>
    </row>
    <row r="589" spans="1:7" x14ac:dyDescent="0.3">
      <c r="A589" s="1" t="str">
        <f>"종합자료실"</f>
        <v>종합자료실</v>
      </c>
      <c r="B589" s="1" t="str">
        <f>"181.7-김57ㄱ"</f>
        <v>181.7-김57ㄱ</v>
      </c>
      <c r="C589" s="1" t="str">
        <f>"기분이 태도가 되지 말자  : 감정조절이 필요한 당신을 위한 책"</f>
        <v>기분이 태도가 되지 말자  : 감정조절이 필요한 당신을 위한 책</v>
      </c>
      <c r="D589" s="1" t="str">
        <f>"김수현 지음"</f>
        <v>김수현 지음</v>
      </c>
      <c r="E589" s="1" t="str">
        <f>"하이스트"</f>
        <v>하이스트</v>
      </c>
      <c r="F589" s="1" t="str">
        <f>"213 p.;19 cm"</f>
        <v>213 p.;19 cm</v>
      </c>
      <c r="G589" s="1"/>
    </row>
    <row r="590" spans="1:7" x14ac:dyDescent="0.3">
      <c r="A590" s="1" t="str">
        <f>"종합자료실"</f>
        <v>종합자료실</v>
      </c>
      <c r="B590" s="1" t="str">
        <f>"843-샤848ㅇ"</f>
        <v>843-샤848ㅇ</v>
      </c>
      <c r="C590" s="1" t="str">
        <f>"완벽한 딸들의 완벽한 범죄"</f>
        <v>완벽한 딸들의 완벽한 범죄</v>
      </c>
      <c r="D590" s="1" t="str">
        <f>"테스 샤프 지음;고상숙 옮김"</f>
        <v>테스 샤프 지음;고상숙 옮김</v>
      </c>
      <c r="E590" s="1" t="str">
        <f>"북레시피"</f>
        <v>북레시피</v>
      </c>
      <c r="F590" s="1" t="str">
        <f>"467 p.;20 cm"</f>
        <v>467 p.;20 cm</v>
      </c>
      <c r="G590" s="1"/>
    </row>
    <row r="591" spans="1:7" x14ac:dyDescent="0.3">
      <c r="A591" s="1" t="str">
        <f>"종합자료실"</f>
        <v>종합자료실</v>
      </c>
      <c r="B591" s="1" t="str">
        <f>"199.5-요59ㄱ"</f>
        <v>199.5-요59ㄱ</v>
      </c>
      <c r="C591" s="1" t="str">
        <f>"그대들, 어떻게 살 것인가"</f>
        <v>그대들, 어떻게 살 것인가</v>
      </c>
      <c r="D591" s="1" t="str">
        <f>"요시노 겐자부로 지음;김욱 옮김"</f>
        <v>요시노 겐자부로 지음;김욱 옮김</v>
      </c>
      <c r="E591" s="1" t="str">
        <f>"양철북"</f>
        <v>양철북</v>
      </c>
      <c r="F591" s="1" t="str">
        <f>"264 p.:삽화;20 cm"</f>
        <v>264 p.:삽화;20 cm</v>
      </c>
      <c r="G591" s="1"/>
    </row>
    <row r="592" spans="1:7" x14ac:dyDescent="0.3">
      <c r="A592" s="1" t="str">
        <f>"종합자료실"</f>
        <v>종합자료실</v>
      </c>
      <c r="B592" s="1" t="str">
        <f>"813.6-이729ㄲ"</f>
        <v>813.6-이729ㄲ</v>
      </c>
      <c r="C592" s="1" t="str">
        <f>"껍데기"</f>
        <v>껍데기</v>
      </c>
      <c r="D592" s="1" t="str">
        <f>"이재호 지음"</f>
        <v>이재호 지음</v>
      </c>
      <c r="E592" s="1" t="str">
        <f>"고블"</f>
        <v>고블</v>
      </c>
      <c r="F592" s="1" t="str">
        <f>"232 p.;20 cm"</f>
        <v>232 p.;20 cm</v>
      </c>
      <c r="G592" s="1"/>
    </row>
    <row r="593" spans="1:7" x14ac:dyDescent="0.3">
      <c r="A593" s="1" t="str">
        <f>"종합자료실"</f>
        <v>종합자료실</v>
      </c>
      <c r="B593" s="1" t="str">
        <f>"325.211-리59ㅎ"</f>
        <v>325.211-리59ㅎ</v>
      </c>
      <c r="C593" s="1" t="str">
        <f>"하루의 기적  : 무한한 가능성을 깨우는 시간"</f>
        <v>하루의 기적  : 무한한 가능성을 깨우는 시간</v>
      </c>
      <c r="D593" s="1" t="str">
        <f>"비비안 리시 지음;권진희 옮김"</f>
        <v>비비안 리시 지음;권진희 옮김</v>
      </c>
      <c r="E593" s="1" t="str">
        <f>"유노북스 :유노콘텐츠그룹"</f>
        <v>유노북스 :유노콘텐츠그룹</v>
      </c>
      <c r="F593" s="1" t="str">
        <f>"259 p.;21 cm"</f>
        <v>259 p.;21 cm</v>
      </c>
      <c r="G593" s="1"/>
    </row>
    <row r="594" spans="1:7" x14ac:dyDescent="0.3">
      <c r="A594" s="1" t="str">
        <f>"종합자료실"</f>
        <v>종합자료실</v>
      </c>
      <c r="B594" s="1" t="str">
        <f>"813.6-김79621ㅇ"</f>
        <v>813.6-김79621ㅇ</v>
      </c>
      <c r="C594" s="1" t="str">
        <f>"연남동 빙굴빙굴 빨래방  : 김지윤 장편소설"</f>
        <v>연남동 빙굴빙굴 빨래방  : 김지윤 장편소설</v>
      </c>
      <c r="D594" s="1" t="str">
        <f>"김지윤 지음"</f>
        <v>김지윤 지음</v>
      </c>
      <c r="E594" s="1" t="str">
        <f>"팩토리나인"</f>
        <v>팩토리나인</v>
      </c>
      <c r="F594" s="1" t="str">
        <f>"371 p.;20 cm"</f>
        <v>371 p.;20 cm</v>
      </c>
      <c r="G594" s="1"/>
    </row>
    <row r="595" spans="1:7" x14ac:dyDescent="0.3">
      <c r="A595" s="1" t="str">
        <f>"종합자료실"</f>
        <v>종합자료실</v>
      </c>
      <c r="B595" s="1" t="str">
        <f>"813.6-천5321을"</f>
        <v>813.6-천5321을</v>
      </c>
      <c r="C595" s="1" t="str">
        <f>"노을 건너기 : 천선란 소설"</f>
        <v>노을 건너기 : 천선란 소설</v>
      </c>
      <c r="D595" s="1" t="str">
        <f>"천선란 지음;리툰 그림"</f>
        <v>천선란 지음;리툰 그림</v>
      </c>
      <c r="E595" s="1" t="str">
        <f>"창비"</f>
        <v>창비</v>
      </c>
      <c r="F595" s="1" t="str">
        <f>"72 p.:삽화;19 cm"</f>
        <v>72 p.:삽화;19 cm</v>
      </c>
      <c r="G595" s="1"/>
    </row>
    <row r="596" spans="1:7" x14ac:dyDescent="0.3">
      <c r="A596" s="1" t="str">
        <f>"종합자료실"</f>
        <v>종합자료실</v>
      </c>
      <c r="B596" s="1" t="str">
        <f>"813.6-김5764ㅅ"</f>
        <v>813.6-김5764ㅅ</v>
      </c>
      <c r="C596" s="1" t="str">
        <f>"스위처블 러브 스토리  = Switchable love story  : 김수연 소설"</f>
        <v>스위처블 러브 스토리  = Switchable love story  : 김수연 소설</v>
      </c>
      <c r="D596" s="1" t="str">
        <f>"김수연 지음"</f>
        <v>김수연 지음</v>
      </c>
      <c r="E596" s="1" t="str">
        <f>"엘리"</f>
        <v>엘리</v>
      </c>
      <c r="F596" s="1" t="str">
        <f>"243 p.;19 cm"</f>
        <v>243 p.;19 cm</v>
      </c>
      <c r="G596" s="1"/>
    </row>
    <row r="597" spans="1:7" x14ac:dyDescent="0.3">
      <c r="A597" s="1" t="str">
        <f>"종합자료실"</f>
        <v>종합자료실</v>
      </c>
      <c r="B597" s="1" t="str">
        <f>"813.6-범67ㅎ-1"</f>
        <v>813.6-범67ㅎ-1</v>
      </c>
      <c r="C597" s="1" t="str">
        <f>"허실시 기담괴설 사건집"</f>
        <v>허실시 기담괴설 사건집</v>
      </c>
      <c r="D597" s="1" t="str">
        <f>"범유진 [외]지음"</f>
        <v>범유진 [외]지음</v>
      </c>
      <c r="E597" s="1" t="str">
        <f>"고블(들녘)"</f>
        <v>고블(들녘)</v>
      </c>
      <c r="F597" s="1" t="str">
        <f>"302 p.;19 cm"</f>
        <v>302 p.;19 cm</v>
      </c>
      <c r="G597" s="1"/>
    </row>
    <row r="598" spans="1:7" x14ac:dyDescent="0.3">
      <c r="A598" s="1" t="str">
        <f>"종합자료실"</f>
        <v>종합자료실</v>
      </c>
      <c r="B598" s="1" t="str">
        <f>"813.6-범67ㅎ-2"</f>
        <v>813.6-범67ㅎ-2</v>
      </c>
      <c r="C598" s="1" t="str">
        <f>"허실시 일상신비 사건집"</f>
        <v>허실시 일상신비 사건집</v>
      </c>
      <c r="D598" s="1" t="str">
        <f>"범유진 [외]지음"</f>
        <v>범유진 [외]지음</v>
      </c>
      <c r="E598" s="1" t="str">
        <f>"고블(들녘)"</f>
        <v>고블(들녘)</v>
      </c>
      <c r="F598" s="1" t="str">
        <f>"344 p.;19 cm"</f>
        <v>344 p.;19 cm</v>
      </c>
      <c r="G598" s="1"/>
    </row>
    <row r="599" spans="1:7" x14ac:dyDescent="0.3">
      <c r="A599" s="1" t="str">
        <f>"종합자료실"</f>
        <v>종합자료실</v>
      </c>
      <c r="B599" s="1" t="str">
        <f>"325.2-설239ㄴ"</f>
        <v>325.2-설239ㄴ</v>
      </c>
      <c r="C599" s="1" t="str">
        <f>"누구와 함께 일할 것인가  : 재능·노력·운보다 강력한 '사람'의 힘"</f>
        <v>누구와 함께 일할 것인가  : 재능·노력·운보다 강력한 '사람'의 힘</v>
      </c>
      <c r="D599" s="1" t="str">
        <f>"댄 설리번,벤저민 하디 지음;김미정 옮김"</f>
        <v>댄 설리번,벤저민 하디 지음;김미정 옮김</v>
      </c>
      <c r="E599" s="1" t="str">
        <f>"비즈니스북스"</f>
        <v>비즈니스북스</v>
      </c>
      <c r="F599" s="1" t="str">
        <f>"251 p.;22 cm"</f>
        <v>251 p.;22 cm</v>
      </c>
      <c r="G599" s="1"/>
    </row>
    <row r="600" spans="1:7" x14ac:dyDescent="0.3">
      <c r="A600" s="1" t="str">
        <f>"종합자료실"</f>
        <v>종합자료실</v>
      </c>
      <c r="B600" s="1" t="str">
        <f>"818-마39ㄴ"</f>
        <v>818-마39ㄴ</v>
      </c>
      <c r="C600" s="1" t="str">
        <f>"나의 이상하고 평범한 부동산 가족"</f>
        <v>나의 이상하고 평범한 부동산 가족</v>
      </c>
      <c r="D600" s="1" t="str">
        <f>"마민지 지음"</f>
        <v>마민지 지음</v>
      </c>
      <c r="E600" s="1" t="str">
        <f>"클"</f>
        <v>클</v>
      </c>
      <c r="F600" s="1" t="str">
        <f>"258 p.:천연색삽화;20 cm"</f>
        <v>258 p.:천연색삽화;20 cm</v>
      </c>
      <c r="G600" s="1"/>
    </row>
    <row r="601" spans="1:7" x14ac:dyDescent="0.3">
      <c r="A601" s="1" t="str">
        <f>"종합자료실"</f>
        <v>종합자료실</v>
      </c>
      <c r="B601" s="1" t="str">
        <f>"420-페838ㅁ"</f>
        <v>420-페838ㅁ</v>
      </c>
      <c r="C601" s="1" t="str">
        <f>"물리적 힘  : 세상은 우리를 밀어내고, 당기고, 붙들고, 놓친다"</f>
        <v>물리적 힘  : 세상은 우리를 밀어내고, 당기고, 붙들고, 놓친다</v>
      </c>
      <c r="D601" s="1" t="str">
        <f>"헨리 페트로스키 지음;이충호 옮김"</f>
        <v>헨리 페트로스키 지음;이충호 옮김</v>
      </c>
      <c r="E601" s="1" t="str">
        <f>"서해문집"</f>
        <v>서해문집</v>
      </c>
      <c r="F601" s="1" t="str">
        <f>"460 p.:삽화, 초상;23 cm"</f>
        <v>460 p.:삽화, 초상;23 cm</v>
      </c>
      <c r="G601" s="1"/>
    </row>
    <row r="602" spans="1:7" x14ac:dyDescent="0.3">
      <c r="A602" s="1" t="str">
        <f>"종합자료실"</f>
        <v>종합자료실</v>
      </c>
      <c r="B602" s="1" t="str">
        <f>"813.6-전13당"</f>
        <v>813.6-전13당</v>
      </c>
      <c r="C602" s="1" t="str">
        <f>"당신이 가장 위험한 곳, 집"</f>
        <v>당신이 가장 위험한 곳, 집</v>
      </c>
      <c r="D602" s="1" t="str">
        <f>"전건우,정명섭,정보라,정해연 지음"</f>
        <v>전건우,정명섭,정보라,정해연 지음</v>
      </c>
      <c r="E602" s="1" t="str">
        <f>"&amp;(앤드) :넥서스"</f>
        <v>&amp;(앤드) :넥서스</v>
      </c>
      <c r="F602" s="1" t="str">
        <f>"231 p.;19 cm"</f>
        <v>231 p.;19 cm</v>
      </c>
      <c r="G602" s="1"/>
    </row>
    <row r="603" spans="1:7" x14ac:dyDescent="0.3">
      <c r="A603" s="1" t="str">
        <f>"종합자료실"</f>
        <v>종합자료실</v>
      </c>
      <c r="B603" s="1" t="str">
        <f>"813.6-황35ㅁ"</f>
        <v>813.6-황35ㅁ</v>
      </c>
      <c r="C603" s="1" t="str">
        <f>"말 없는 자들의 목소리  : 황모과 장편소설"</f>
        <v>말 없는 자들의 목소리  : 황모과 장편소설</v>
      </c>
      <c r="D603" s="1" t="str">
        <f>"황모과 지음"</f>
        <v>황모과 지음</v>
      </c>
      <c r="E603" s="1" t="str">
        <f>"래빗홀 :인플루엔셜"</f>
        <v>래빗홀 :인플루엔셜</v>
      </c>
      <c r="F603" s="1" t="str">
        <f>"271 p.;19 cm"</f>
        <v>271 p.;19 cm</v>
      </c>
      <c r="G603" s="1"/>
    </row>
    <row r="604" spans="1:7" x14ac:dyDescent="0.3">
      <c r="A604" s="1" t="str">
        <f>"종합자료실"</f>
        <v>종합자료실</v>
      </c>
      <c r="B604" s="1" t="str">
        <f>"029.1-고34ㅅ"</f>
        <v>029.1-고34ㅅ</v>
      </c>
      <c r="C604" s="1" t="str">
        <f>"생각의 요새  : 사유의 미로를 통과하는 읽기의 모험"</f>
        <v>생각의 요새  : 사유의 미로를 통과하는 읽기의 모험</v>
      </c>
      <c r="D604" s="1" t="str">
        <f>"고명섭 지음"</f>
        <v>고명섭 지음</v>
      </c>
      <c r="E604" s="1" t="str">
        <f>"교양인"</f>
        <v>교양인</v>
      </c>
      <c r="F604" s="1" t="str">
        <f>"547 p.;21 cm"</f>
        <v>547 p.;21 cm</v>
      </c>
      <c r="G604" s="1"/>
    </row>
    <row r="605" spans="1:7" x14ac:dyDescent="0.3">
      <c r="A605" s="1" t="str">
        <f>"종합자료실"</f>
        <v>종합자료실</v>
      </c>
      <c r="B605" s="1" t="str">
        <f>"843-카833ㅇ"</f>
        <v>843-카833ㅇ</v>
      </c>
      <c r="C605" s="1" t="str">
        <f>"악의 사냥 : 크리스 카터 장편소설"</f>
        <v>악의 사냥 : 크리스 카터 장편소설</v>
      </c>
      <c r="D605" s="1" t="str">
        <f>"크리스 카터 지음;서효령 옮김"</f>
        <v>크리스 카터 지음;서효령 옮김</v>
      </c>
      <c r="E605" s="1" t="str">
        <f>"북로드:더난콘텐츠그룹"</f>
        <v>북로드:더난콘텐츠그룹</v>
      </c>
      <c r="F605" s="1" t="str">
        <f>"523 p.;21 cm"</f>
        <v>523 p.;21 cm</v>
      </c>
      <c r="G605" s="1"/>
    </row>
    <row r="606" spans="1:7" x14ac:dyDescent="0.3">
      <c r="A606" s="1" t="str">
        <f>"종합자료실"</f>
        <v>종합자료실</v>
      </c>
      <c r="B606" s="1" t="str">
        <f>"843-한66ㅎ"</f>
        <v>843-한66ㅎ</v>
      </c>
      <c r="C606" s="1" t="str">
        <f>"핵가족  : 한요셉 장편소설"</f>
        <v>핵가족  : 한요셉 장편소설</v>
      </c>
      <c r="D606" s="1" t="str">
        <f>"한요셉 지음;박지선 옮김"</f>
        <v>한요셉 지음;박지선 옮김</v>
      </c>
      <c r="E606" s="1" t="str">
        <f>"위즈덤하우스"</f>
        <v>위즈덤하우스</v>
      </c>
      <c r="F606" s="1" t="str">
        <f>"415 p.;20 cm"</f>
        <v>415 p.;20 cm</v>
      </c>
      <c r="G606" s="1"/>
    </row>
    <row r="607" spans="1:7" x14ac:dyDescent="0.3">
      <c r="A607" s="1" t="str">
        <f>"종합자료실"</f>
        <v>종합자료실</v>
      </c>
      <c r="B607" s="1" t="str">
        <f>"833.6-곤225ㅎ"</f>
        <v>833.6-곤225ㅎ</v>
      </c>
      <c r="C607" s="1" t="str">
        <f>"호텔 피베리  = Hotel Peaberry"</f>
        <v>호텔 피베리  = Hotel Peaberry</v>
      </c>
      <c r="D607" s="1" t="str">
        <f>"곤도 후미에 지음;윤선해 옮김"</f>
        <v>곤도 후미에 지음;윤선해 옮김</v>
      </c>
      <c r="E607" s="1" t="str">
        <f>"황소자리"</f>
        <v>황소자리</v>
      </c>
      <c r="F607" s="1" t="str">
        <f>"247 p.;22 cm"</f>
        <v>247 p.;22 cm</v>
      </c>
      <c r="G607" s="1"/>
    </row>
    <row r="608" spans="1:7" x14ac:dyDescent="0.3">
      <c r="A608" s="1" t="str">
        <f>"종합자료실"</f>
        <v>종합자료실</v>
      </c>
      <c r="B608" s="1" t="str">
        <f>"332.204-은53ㅊ"</f>
        <v>332.204-은53ㅊ</v>
      </c>
      <c r="C608" s="1" t="str">
        <f>"친구를 입양했습니다  : 피보다 진한 법적 가족 탄생기"</f>
        <v>친구를 입양했습니다  : 피보다 진한 법적 가족 탄생기</v>
      </c>
      <c r="D608" s="1" t="str">
        <f>"은서란 지음"</f>
        <v>은서란 지음</v>
      </c>
      <c r="E608" s="1" t="str">
        <f>"위즈덤하우스"</f>
        <v>위즈덤하우스</v>
      </c>
      <c r="F608" s="1" t="str">
        <f>"255 p.:삽화;19 cm"</f>
        <v>255 p.:삽화;19 cm</v>
      </c>
      <c r="G608" s="1"/>
    </row>
    <row r="609" spans="1:7" x14ac:dyDescent="0.3">
      <c r="A609" s="1" t="str">
        <f>"종합자료실"</f>
        <v>종합자료실</v>
      </c>
      <c r="B609" s="1" t="str">
        <f>"321.54204-에239ㅇ"</f>
        <v>321.54204-에239ㅇ</v>
      </c>
      <c r="C609" s="1" t="str">
        <f>"언니, 밥 먹고 가  : 자신만의 세계를 건설해가는 여성 노동자를 위한 함바집, '함바데리카'에 오신 걸 환영합니다!"</f>
        <v>언니, 밥 먹고 가  : 자신만의 세계를 건설해가는 여성 노동자를 위한 함바집, '함바데리카'에 오신 걸 환영합니다!</v>
      </c>
      <c r="D609" s="1" t="str">
        <f>"에리카팕 글·사진"</f>
        <v>에리카팕 글·사진</v>
      </c>
      <c r="E609" s="1" t="str">
        <f>"세미콜론"</f>
        <v>세미콜론</v>
      </c>
      <c r="F609" s="1" t="str">
        <f>"267 p.:천연색삽화;19 cm"</f>
        <v>267 p.:천연색삽화;19 cm</v>
      </c>
      <c r="G609" s="1"/>
    </row>
    <row r="610" spans="1:7" x14ac:dyDescent="0.3">
      <c r="A610" s="1" t="str">
        <f>"종합자료실"</f>
        <v>종합자료실</v>
      </c>
      <c r="B610" s="1" t="str">
        <f>"818-한55ㅊ"</f>
        <v>818-한55ㅊ</v>
      </c>
      <c r="C610" s="1" t="str">
        <f>"청춘유감  : 울면서 걷기, 넘어지며 자라기"</f>
        <v>청춘유감  : 울면서 걷기, 넘어지며 자라기</v>
      </c>
      <c r="D610" s="1" t="str">
        <f>"한소범 지음"</f>
        <v>한소범 지음</v>
      </c>
      <c r="E610" s="1" t="str">
        <f>"문학동네"</f>
        <v>문학동네</v>
      </c>
      <c r="F610" s="1" t="str">
        <f>"262 p.;20 cm"</f>
        <v>262 p.;20 cm</v>
      </c>
      <c r="G610" s="1"/>
    </row>
    <row r="611" spans="1:7" x14ac:dyDescent="0.3">
      <c r="A611" s="1" t="str">
        <f>"종합자료실"</f>
        <v>종합자료실</v>
      </c>
      <c r="B611" s="1" t="str">
        <f>"814.6-김185ㅅ"</f>
        <v>814.6-김185ㅅ</v>
      </c>
      <c r="C611" s="1" t="str">
        <f>"식물적 낙관  : 김금희 산문"</f>
        <v>식물적 낙관  : 김금희 산문</v>
      </c>
      <c r="D611" s="1" t="str">
        <f>"김금희 지음"</f>
        <v>김금희 지음</v>
      </c>
      <c r="E611" s="1" t="str">
        <f>"문학동네"</f>
        <v>문학동네</v>
      </c>
      <c r="F611" s="1" t="str">
        <f>"259 p.:천연색삽화;20 cm"</f>
        <v>259 p.:천연색삽화;20 cm</v>
      </c>
      <c r="G611" s="1"/>
    </row>
    <row r="612" spans="1:7" x14ac:dyDescent="0.3">
      <c r="A612" s="1" t="str">
        <f>"종합자료실"</f>
        <v>종합자료실</v>
      </c>
      <c r="B612" s="1" t="str">
        <f>"818-이2217ㄴ"</f>
        <v>818-이2217ㄴ</v>
      </c>
      <c r="C612" s="1" t="str">
        <f>"내 인생에 무임술차 좀 할게요  : 방구석 혼술 유튜버의 인생 해장 에세이"</f>
        <v>내 인생에 무임술차 좀 할게요  : 방구석 혼술 유튜버의 인생 해장 에세이</v>
      </c>
      <c r="D612" s="1" t="str">
        <f>"이다정 지음"</f>
        <v>이다정 지음</v>
      </c>
      <c r="E612" s="1" t="str">
        <f>"북라이프"</f>
        <v>북라이프</v>
      </c>
      <c r="F612" s="1" t="str">
        <f>"261 p.:천연색삽화;20 cm"</f>
        <v>261 p.:천연색삽화;20 cm</v>
      </c>
      <c r="G612" s="1"/>
    </row>
    <row r="613" spans="1:7" x14ac:dyDescent="0.3">
      <c r="A613" s="1" t="str">
        <f>"종합자료실"</f>
        <v>종합자료실</v>
      </c>
      <c r="B613" s="1" t="str">
        <f>"836-요595ㄱ"</f>
        <v>836-요595ㄱ</v>
      </c>
      <c r="C613" s="1" t="str">
        <f>"그 책은  : 13일 동안 이어지는 책에 대한 책 이야기"</f>
        <v>그 책은  : 13일 동안 이어지는 책에 대한 책 이야기</v>
      </c>
      <c r="D613" s="1" t="str">
        <f>"요시타케 신스케,마타요시 나오키 지음;양지연 옮김"</f>
        <v>요시타케 신스케,마타요시 나오키 지음;양지연 옮김</v>
      </c>
      <c r="E613" s="1" t="str">
        <f>"김영사"</f>
        <v>김영사</v>
      </c>
      <c r="F613" s="1" t="str">
        <f>"196 p.:삽화(일부천연색);21 cm"</f>
        <v>196 p.:삽화(일부천연색);21 cm</v>
      </c>
      <c r="G613" s="1"/>
    </row>
    <row r="614" spans="1:7" x14ac:dyDescent="0.3">
      <c r="A614" s="1" t="str">
        <f>"종합자료실"</f>
        <v>종합자료실</v>
      </c>
      <c r="B614" s="1" t="str">
        <f>"844-블237ㅅ"</f>
        <v>844-블237ㅅ</v>
      </c>
      <c r="C614" s="1" t="str">
        <f>"사랑을 담아"</f>
        <v>사랑을 담아</v>
      </c>
      <c r="D614" s="1" t="str">
        <f>"에이미 블룸 지음;신혜빈 옮김"</f>
        <v>에이미 블룸 지음;신혜빈 옮김</v>
      </c>
      <c r="E614" s="1" t="str">
        <f>"문학동네"</f>
        <v>문학동네</v>
      </c>
      <c r="F614" s="1" t="str">
        <f>"299 p.;20 cm"</f>
        <v>299 p.;20 cm</v>
      </c>
      <c r="G614" s="1"/>
    </row>
    <row r="615" spans="1:7" x14ac:dyDescent="0.3">
      <c r="A615" s="1" t="str">
        <f>"종합자료실"</f>
        <v>종합자료실</v>
      </c>
      <c r="B615" s="1" t="str">
        <f>"326.438-서68ㅇ"</f>
        <v>326.438-서68ㅇ</v>
      </c>
      <c r="C615" s="1" t="str">
        <f>"(이상하고 소란스러운) 우표의 세계"</f>
        <v>(이상하고 소란스러운) 우표의 세계</v>
      </c>
      <c r="D615" s="1" t="str">
        <f>"서은경 지음;냥냥빔 일러스트"</f>
        <v>서은경 지음;냥냥빔 일러스트</v>
      </c>
      <c r="E615" s="1" t="str">
        <f>"현암사"</f>
        <v>현암사</v>
      </c>
      <c r="F615" s="1" t="str">
        <f>"214 p.:삽화;18 cm"</f>
        <v>214 p.:삽화;18 cm</v>
      </c>
      <c r="G615" s="1"/>
    </row>
    <row r="616" spans="1:7" x14ac:dyDescent="0.3">
      <c r="A616" s="1" t="str">
        <f>"종합자료실"</f>
        <v>종합자료실</v>
      </c>
      <c r="B616" s="1" t="str">
        <f>"527.4786-데69ㅇ"</f>
        <v>527.4786-데69ㅇ</v>
      </c>
      <c r="C616" s="1" t="str">
        <f>"연애보다 고양이  : 당신의 고양이가 하고 싶은 말"</f>
        <v>연애보다 고양이  : 당신의 고양이가 하고 싶은 말</v>
      </c>
      <c r="D616" s="1" t="str">
        <f>"앨리슨 데이비스 글;나마스리 니어밈 그림;김미나 옮김"</f>
        <v>앨리슨 데이비스 글;나마스리 니어밈 그림;김미나 옮김</v>
      </c>
      <c r="E616" s="1" t="str">
        <f>"특별한서재"</f>
        <v>특별한서재</v>
      </c>
      <c r="F616" s="1" t="str">
        <f>"191 p.:천연색삽화;19 cm"</f>
        <v>191 p.:천연색삽화;19 cm</v>
      </c>
      <c r="G616" s="1"/>
    </row>
    <row r="617" spans="1:7" x14ac:dyDescent="0.3">
      <c r="A617" s="1" t="str">
        <f>"종합자료실"</f>
        <v>종합자료실</v>
      </c>
      <c r="B617" s="1" t="str">
        <f>"818-양98그"</f>
        <v>818-양98그</v>
      </c>
      <c r="C617" s="1" t="str">
        <f>"그럴 수 있어  : 양희은 에세이"</f>
        <v>그럴 수 있어  : 양희은 에세이</v>
      </c>
      <c r="D617" s="1" t="str">
        <f>"양희은 지음"</f>
        <v>양희은 지음</v>
      </c>
      <c r="E617" s="1" t="str">
        <f>"웅진지식하우스 :웅진씽크빅"</f>
        <v>웅진지식하우스 :웅진씽크빅</v>
      </c>
      <c r="F617" s="1" t="str">
        <f>"242 p.:삽화(일부천연색);22 cm"</f>
        <v>242 p.:삽화(일부천연색);22 cm</v>
      </c>
      <c r="G617" s="1"/>
    </row>
    <row r="618" spans="1:7" x14ac:dyDescent="0.3">
      <c r="A618" s="1" t="str">
        <f>"종합자료실"</f>
        <v>종합자료실</v>
      </c>
      <c r="B618" s="1" t="str">
        <f>"813.8-황79ㄸ"</f>
        <v>813.8-황79ㄸ</v>
      </c>
      <c r="C618" s="1" t="str">
        <f>"뛰어!"</f>
        <v>뛰어!</v>
      </c>
      <c r="D618" s="1" t="str">
        <f>"황지영 글;정인성,천복주 그림"</f>
        <v>황지영 글;정인성,천복주 그림</v>
      </c>
      <c r="E618" s="1" t="str">
        <f>"다림"</f>
        <v>다림</v>
      </c>
      <c r="F618" s="1" t="str">
        <f>"133 p.:천연색삽화;21 cm"</f>
        <v>133 p.:천연색삽화;21 cm</v>
      </c>
      <c r="G618" s="1"/>
    </row>
    <row r="619" spans="1:7" x14ac:dyDescent="0.3">
      <c r="A619" s="1" t="str">
        <f>"종합자료실"</f>
        <v>종합자료실</v>
      </c>
      <c r="B619" s="1" t="str">
        <f>"813.6-박5323ㄴ"</f>
        <v>813.6-박5323ㄴ</v>
      </c>
      <c r="C619" s="1" t="str">
        <f>"나, 나, 마들렌  : 박서련 소설집"</f>
        <v>나, 나, 마들렌  : 박서련 소설집</v>
      </c>
      <c r="D619" s="1" t="str">
        <f>"박서련 지음"</f>
        <v>박서련 지음</v>
      </c>
      <c r="E619" s="1" t="str">
        <f>"한겨레출판(한겨레엔)"</f>
        <v>한겨레출판(한겨레엔)</v>
      </c>
      <c r="F619" s="1" t="str">
        <f>"267 p.;19 cm"</f>
        <v>267 p.;19 cm</v>
      </c>
      <c r="G619" s="1"/>
    </row>
    <row r="620" spans="1:7" x14ac:dyDescent="0.3">
      <c r="A620" s="1" t="str">
        <f>"종합자료실"</f>
        <v>종합자료실</v>
      </c>
      <c r="B620" s="1" t="str">
        <f>"165.47-쇼843ㄷ"</f>
        <v>165.47-쇼843ㄷ</v>
      </c>
      <c r="C620" s="1" t="str">
        <f>"당신의 인생이 왜 힘들지 않아야 한다고 생각하십니까  : 쇼펜하우어 아포리즘"</f>
        <v>당신의 인생이 왜 힘들지 않아야 한다고 생각하십니까  : 쇼펜하우어 아포리즘</v>
      </c>
      <c r="D620" s="1" t="str">
        <f>"아르투어 쇼펜하우어 지음;김욱 편역"</f>
        <v>아르투어 쇼펜하우어 지음;김욱 편역</v>
      </c>
      <c r="E620" s="1" t="str">
        <f>"포레스트북스 :콘텐츠그룹 포레스트"</f>
        <v>포레스트북스 :콘텐츠그룹 포레스트</v>
      </c>
      <c r="F620" s="1" t="str">
        <f>"256 p.;19 cm"</f>
        <v>256 p.;19 cm</v>
      </c>
      <c r="G620" s="1"/>
    </row>
    <row r="621" spans="1:7" x14ac:dyDescent="0.3">
      <c r="A621" s="1" t="str">
        <f>"종합자료실"</f>
        <v>종합자료실</v>
      </c>
      <c r="B621" s="1" t="str">
        <f>"813.6-김6425ㄴ"</f>
        <v>813.6-김6425ㄴ</v>
      </c>
      <c r="C621" s="1" t="str">
        <f>"너무나 많은 여름이"</f>
        <v>너무나 많은 여름이</v>
      </c>
      <c r="D621" s="1" t="str">
        <f>"김연수 지음"</f>
        <v>김연수 지음</v>
      </c>
      <c r="E621" s="1" t="str">
        <f>"레제"</f>
        <v>레제</v>
      </c>
      <c r="F621" s="1" t="str">
        <f>"301 p.:삽화;20 cm"</f>
        <v>301 p.:삽화;20 cm</v>
      </c>
      <c r="G621" s="1"/>
    </row>
    <row r="622" spans="1:7" x14ac:dyDescent="0.3">
      <c r="A622" s="1" t="str">
        <f>"종합자료실"</f>
        <v>종합자료실</v>
      </c>
      <c r="B622" s="1" t="str">
        <f>"670.4-류69ㄴ"</f>
        <v>670.4-류69ㄴ</v>
      </c>
      <c r="C622" s="1" t="str">
        <f>"나는 앞으로 몇 번의 보름달을 볼 수 있을까"</f>
        <v>나는 앞으로 몇 번의 보름달을 볼 수 있을까</v>
      </c>
      <c r="D622" s="1" t="str">
        <f>"류이치 사카모토 지음;황국영 옮김"</f>
        <v>류이치 사카모토 지음;황국영 옮김</v>
      </c>
      <c r="E622" s="1" t="str">
        <f>"위즈덤하우스"</f>
        <v>위즈덤하우스</v>
      </c>
      <c r="F622" s="1" t="str">
        <f>"394 p.:삽화;20 cm"</f>
        <v>394 p.:삽화;20 cm</v>
      </c>
      <c r="G622" s="1"/>
    </row>
    <row r="623" spans="1:7" x14ac:dyDescent="0.3">
      <c r="A623" s="1" t="str">
        <f>"종합자료실"</f>
        <v>종합자료실</v>
      </c>
      <c r="B623" s="1" t="str">
        <f>"833.6-다2115ㅇ"</f>
        <v>833.6-다2115ㅇ</v>
      </c>
      <c r="C623" s="1" t="str">
        <f>"일곱 도시 이야기  : 다나카 요시키 장편소설"</f>
        <v>일곱 도시 이야기  : 다나카 요시키 장편소설</v>
      </c>
      <c r="D623" s="1" t="str">
        <f>"다나카 요시키 지음;손진성 옮김"</f>
        <v>다나카 요시키 지음;손진성 옮김</v>
      </c>
      <c r="E623" s="1" t="str">
        <f>"시옷북스"</f>
        <v>시옷북스</v>
      </c>
      <c r="F623" s="1" t="str">
        <f>"383 p.:삽화;21 cm"</f>
        <v>383 p.:삽화;21 cm</v>
      </c>
      <c r="G623" s="1"/>
    </row>
    <row r="624" spans="1:7" x14ac:dyDescent="0.3">
      <c r="A624" s="1" t="str">
        <f>"종합자료실"</f>
        <v>종합자료실</v>
      </c>
      <c r="B624" s="1" t="str">
        <f>"813.6-김797ㅁ"</f>
        <v>813.6-김797ㅁ</v>
      </c>
      <c r="C624" s="1" t="str">
        <f>"마당이 있는 집"</f>
        <v>마당이 있는 집</v>
      </c>
      <c r="D624" s="1" t="str">
        <f>"김진영 지음"</f>
        <v>김진영 지음</v>
      </c>
      <c r="E624" s="1" t="str">
        <f>"엘릭시르"</f>
        <v>엘릭시르</v>
      </c>
      <c r="F624" s="1" t="str">
        <f>"388 p.;19 cm"</f>
        <v>388 p.;19 cm</v>
      </c>
      <c r="G624" s="1"/>
    </row>
    <row r="625" spans="1:7" x14ac:dyDescent="0.3">
      <c r="A625" s="1" t="str">
        <f>"종합자료실"</f>
        <v>종합자료실</v>
      </c>
      <c r="B625" s="1" t="str">
        <f>"818-리838ㅇ"</f>
        <v>818-리838ㅇ</v>
      </c>
      <c r="C625" s="1" t="str">
        <f>"이렇게 살면 큰일 나는 줄 알았지  : 오늘의 행복을 찾아 도시에서 시골로 '나' 옮겨심기"</f>
        <v>이렇게 살면 큰일 나는 줄 알았지  : 오늘의 행복을 찾아 도시에서 시골로 '나' 옮겨심기</v>
      </c>
      <c r="D625" s="1" t="str">
        <f>"리틀타네 글·그림"</f>
        <v>리틀타네 글·그림</v>
      </c>
      <c r="E625" s="1" t="str">
        <f>"웅진지식하우스 :웅진씽크빅"</f>
        <v>웅진지식하우스 :웅진씽크빅</v>
      </c>
      <c r="F625" s="1" t="str">
        <f>"246 p.:천연색삽화;20 cm"</f>
        <v>246 p.:천연색삽화;20 cm</v>
      </c>
      <c r="G625" s="1"/>
    </row>
    <row r="626" spans="1:7" x14ac:dyDescent="0.3">
      <c r="A626" s="1" t="str">
        <f>"종합자료실"</f>
        <v>종합자료실</v>
      </c>
      <c r="B626" s="1" t="str">
        <f>"489.565109-몰239ㅈ"</f>
        <v>489.565109-몰239ㅈ</v>
      </c>
      <c r="C626" s="1" t="str">
        <f>"장미의 문화사"</f>
        <v>장미의 문화사</v>
      </c>
      <c r="D626" s="1" t="str">
        <f>"사이먼 몰리 지음;노윤기 옮김"</f>
        <v>사이먼 몰리 지음;노윤기 옮김</v>
      </c>
      <c r="E626" s="1" t="str">
        <f>"안그라픽스"</f>
        <v>안그라픽스</v>
      </c>
      <c r="F626" s="1" t="str">
        <f>"367 p.:천연색삽화;23 cm"</f>
        <v>367 p.:천연색삽화;23 cm</v>
      </c>
      <c r="G626" s="1"/>
    </row>
    <row r="627" spans="1:7" x14ac:dyDescent="0.3">
      <c r="A627" s="1" t="str">
        <f>"종합자료실"</f>
        <v>종합자료실</v>
      </c>
      <c r="B627" s="1" t="str">
        <f>"404-유59ㅁ"</f>
        <v>404-유59ㅁ</v>
      </c>
      <c r="C627" s="1" t="str">
        <f>"문과 남자의 과학 공부  : 나는 무엇이고 왜 존재하며 어디로 가는가?"</f>
        <v>문과 남자의 과학 공부  : 나는 무엇이고 왜 존재하며 어디로 가는가?</v>
      </c>
      <c r="D627" s="1" t="str">
        <f>"유시민 지음"</f>
        <v>유시민 지음</v>
      </c>
      <c r="E627" s="1" t="str">
        <f>"돌베개"</f>
        <v>돌베개</v>
      </c>
      <c r="F627" s="1" t="str">
        <f>"304 p.;21 cm"</f>
        <v>304 p.;21 cm</v>
      </c>
      <c r="G627" s="1"/>
    </row>
    <row r="628" spans="1:7" x14ac:dyDescent="0.3">
      <c r="A628" s="1" t="str">
        <f>"종합자료실"</f>
        <v>종합자료실</v>
      </c>
      <c r="B628" s="1" t="str">
        <f>"813.6-구44이"</f>
        <v>813.6-구44이</v>
      </c>
      <c r="C628" s="1" t="str">
        <f>"이야기 따위 없어져 버려라 : 구병모 소설"</f>
        <v>이야기 따위 없어져 버려라 : 구병모 소설</v>
      </c>
      <c r="D628" s="1" t="str">
        <f>"구병모 지음;ZQ그림"</f>
        <v>구병모 지음;ZQ그림</v>
      </c>
      <c r="E628" s="1" t="str">
        <f>"창비"</f>
        <v>창비</v>
      </c>
      <c r="F628" s="1" t="str">
        <f>"88 p.:천연색삽화;19 cm"</f>
        <v>88 p.:천연색삽화;19 cm</v>
      </c>
      <c r="G628" s="1"/>
    </row>
    <row r="629" spans="1:7" x14ac:dyDescent="0.3">
      <c r="A629" s="1" t="str">
        <f>"종합자료실"</f>
        <v>종합자료실</v>
      </c>
      <c r="B629" s="1" t="str">
        <f>"813.6-남675ㅂ"</f>
        <v>813.6-남675ㅂ</v>
      </c>
      <c r="C629" s="1" t="str">
        <f>"봄의 목소리 : 남유하 소설"</f>
        <v>봄의 목소리 : 남유하 소설</v>
      </c>
      <c r="D629" s="1" t="str">
        <f>"남유하 지음;조예빈 그림"</f>
        <v>남유하 지음;조예빈 그림</v>
      </c>
      <c r="E629" s="1" t="str">
        <f>"창비"</f>
        <v>창비</v>
      </c>
      <c r="F629" s="1" t="str">
        <f>"88 p.:삽화;19 cm"</f>
        <v>88 p.:삽화;19 cm</v>
      </c>
      <c r="G629" s="1"/>
    </row>
    <row r="630" spans="1:7" x14ac:dyDescent="0.3">
      <c r="A630" s="1" t="str">
        <f>"향토자료실"</f>
        <v>향토자료실</v>
      </c>
      <c r="B630" s="1" t="str">
        <f>"O813.8-김655벼=2"</f>
        <v>O813.8-김655벼=2</v>
      </c>
      <c r="C630" s="1" t="str">
        <f>"벼룩시장에서 생긴 일  : 김옥애 장편동화"</f>
        <v>벼룩시장에서 생긴 일  : 김옥애 장편동화</v>
      </c>
      <c r="D630" s="1" t="str">
        <f>"김옥애 지음;고은지 그림"</f>
        <v>김옥애 지음;고은지 그림</v>
      </c>
      <c r="E630" s="1" t="str">
        <f>"청개구리"</f>
        <v>청개구리</v>
      </c>
      <c r="F630" s="1" t="str">
        <f>"91 p.:천연색삽화;23 cm"</f>
        <v>91 p.:천연색삽화;23 cm</v>
      </c>
      <c r="G630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2023-11-30T01:59:45Z</dcterms:created>
  <dcterms:modified xsi:type="dcterms:W3CDTF">2023-11-30T07:31:22Z</dcterms:modified>
</cp:coreProperties>
</file>